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Quick Service PC\Documents\PACK1-INTEGRADOS V3\Lote 4\10456 - ESCUELA DE EDUCACIÓN PARVULARIA SAN RAFAEL\DOCUMENTOS COMPLEMENTARIOS\PLAN DE OFERTA\"/>
    </mc:Choice>
  </mc:AlternateContent>
  <xr:revisionPtr revIDLastSave="0" documentId="13_ncr:1_{FD2C05DF-01D4-48C2-96A3-F92A88E660E8}" xr6:coauthVersionLast="47" xr6:coauthVersionMax="47" xr10:uidLastSave="{00000000-0000-0000-0000-000000000000}"/>
  <bookViews>
    <workbookView xWindow="-110" yWindow="-110" windowWidth="19420" windowHeight="10420" xr2:uid="{00000000-000D-0000-FFFF-FFFF00000000}"/>
  </bookViews>
  <sheets>
    <sheet name="PLAN DE OFERTA" sheetId="6" r:id="rId1"/>
    <sheet name="NUEVO" sheetId="7" state="hidden" r:id="rId2"/>
  </sheets>
  <definedNames>
    <definedName name="_xlnm._FilterDatabase" localSheetId="0" hidden="1">'PLAN DE OFERTA'!$A$5:$G$11</definedName>
    <definedName name="_xlnm.Print_Area" localSheetId="0">'PLAN DE OFERTA'!$A$1:$G$95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6" l="1"/>
  <c r="D23" i="7" l="1"/>
  <c r="F23" i="7" s="1"/>
  <c r="F22" i="7"/>
  <c r="D21" i="7"/>
  <c r="F21" i="7" s="1"/>
  <c r="D20" i="7"/>
  <c r="F20" i="7" s="1"/>
  <c r="D19" i="7"/>
  <c r="F19" i="7" s="1"/>
  <c r="D18" i="7"/>
  <c r="F18" i="7" s="1"/>
  <c r="D17" i="7"/>
  <c r="F17" i="7" s="1"/>
  <c r="D16" i="7"/>
  <c r="F16" i="7" s="1"/>
  <c r="D193" i="7" l="1"/>
  <c r="F193" i="7" s="1"/>
  <c r="D190" i="7"/>
  <c r="F190" i="7" s="1"/>
  <c r="D189" i="7"/>
  <c r="F189" i="7" s="1"/>
  <c r="F186" i="7"/>
  <c r="F185" i="7"/>
  <c r="F184" i="7"/>
  <c r="F180" i="7"/>
  <c r="F179" i="7"/>
  <c r="D178" i="7"/>
  <c r="F178" i="7" s="1"/>
  <c r="F175" i="7"/>
  <c r="F174" i="7"/>
  <c r="F171" i="7"/>
  <c r="F167" i="7"/>
  <c r="F166" i="7"/>
  <c r="F163" i="7"/>
  <c r="F162" i="7"/>
  <c r="E161" i="7"/>
  <c r="F161" i="7" s="1"/>
  <c r="F158" i="7"/>
  <c r="F157" i="7"/>
  <c r="D156" i="7"/>
  <c r="F156" i="7" s="1"/>
  <c r="F155" i="7"/>
  <c r="F154" i="7"/>
  <c r="D152" i="7"/>
  <c r="D153" i="7" s="1"/>
  <c r="F153" i="7" s="1"/>
  <c r="F151" i="7"/>
  <c r="F148" i="7"/>
  <c r="F147" i="7"/>
  <c r="D146" i="7"/>
  <c r="F146" i="7" s="1"/>
  <c r="F145" i="7"/>
  <c r="D144" i="7"/>
  <c r="F144" i="7" s="1"/>
  <c r="F143" i="7"/>
  <c r="D142" i="7"/>
  <c r="F142" i="7" s="1"/>
  <c r="D140" i="7"/>
  <c r="F140" i="7" s="1"/>
  <c r="F139" i="7"/>
  <c r="D135" i="7"/>
  <c r="F135" i="7" s="1"/>
  <c r="F134" i="7"/>
  <c r="F133" i="7"/>
  <c r="F132" i="7"/>
  <c r="F131" i="7"/>
  <c r="D130" i="7"/>
  <c r="F130" i="7" s="1"/>
  <c r="D129" i="7"/>
  <c r="F129" i="7" s="1"/>
  <c r="D128" i="7"/>
  <c r="F128" i="7" s="1"/>
  <c r="D127" i="7"/>
  <c r="F127" i="7" s="1"/>
  <c r="F124" i="7"/>
  <c r="D122" i="7"/>
  <c r="F122" i="7" s="1"/>
  <c r="D121" i="7"/>
  <c r="F121" i="7" s="1"/>
  <c r="F120" i="7"/>
  <c r="E118" i="7"/>
  <c r="F118" i="7" s="1"/>
  <c r="D113" i="7"/>
  <c r="F113" i="7" s="1"/>
  <c r="D109" i="7"/>
  <c r="F109" i="7" s="1"/>
  <c r="F105" i="7"/>
  <c r="D102" i="7"/>
  <c r="F102" i="7" s="1"/>
  <c r="D97" i="7"/>
  <c r="F97" i="7" s="1"/>
  <c r="F96" i="7"/>
  <c r="F93" i="7"/>
  <c r="D92" i="7"/>
  <c r="F92" i="7" s="1"/>
  <c r="D89" i="7"/>
  <c r="F89" i="7" s="1"/>
  <c r="D88" i="7"/>
  <c r="F88" i="7" s="1"/>
  <c r="D87" i="7"/>
  <c r="F87" i="7" s="1"/>
  <c r="D86" i="7"/>
  <c r="F86" i="7" s="1"/>
  <c r="F82" i="7"/>
  <c r="D81" i="7"/>
  <c r="F81" i="7" s="1"/>
  <c r="D80" i="7"/>
  <c r="F80" i="7" s="1"/>
  <c r="D79" i="7"/>
  <c r="F79" i="7" s="1"/>
  <c r="F78" i="7"/>
  <c r="F77" i="7"/>
  <c r="F76" i="7"/>
  <c r="F75" i="7"/>
  <c r="D74" i="7"/>
  <c r="F74" i="7" s="1"/>
  <c r="D73" i="7"/>
  <c r="F73" i="7" s="1"/>
  <c r="D72" i="7"/>
  <c r="F72" i="7" s="1"/>
  <c r="E69" i="7"/>
  <c r="F69" i="7" s="1"/>
  <c r="D65" i="7"/>
  <c r="F65" i="7" s="1"/>
  <c r="D64" i="7"/>
  <c r="F64" i="7" s="1"/>
  <c r="F61" i="7"/>
  <c r="D60" i="7"/>
  <c r="F60" i="7" s="1"/>
  <c r="D57" i="7"/>
  <c r="F57" i="7" s="1"/>
  <c r="D56" i="7"/>
  <c r="F56" i="7" s="1"/>
  <c r="D55" i="7"/>
  <c r="F55" i="7" s="1"/>
  <c r="D54" i="7"/>
  <c r="F54" i="7" s="1"/>
  <c r="F50" i="7"/>
  <c r="D47" i="7"/>
  <c r="F47" i="7" s="1"/>
  <c r="D46" i="7"/>
  <c r="F46" i="7" s="1"/>
  <c r="D43" i="7"/>
  <c r="F43" i="7" s="1"/>
  <c r="F42" i="7"/>
  <c r="F39" i="7"/>
  <c r="D38" i="7"/>
  <c r="F38" i="7" s="1"/>
  <c r="D35" i="7"/>
  <c r="F35" i="7" s="1"/>
  <c r="F29" i="7"/>
  <c r="F28" i="7"/>
  <c r="F13" i="7"/>
  <c r="D12" i="7"/>
  <c r="F12" i="7" s="1"/>
  <c r="D11" i="7"/>
  <c r="F11" i="7" s="1"/>
  <c r="D10" i="7"/>
  <c r="F10" i="7" s="1"/>
  <c r="D9" i="7"/>
  <c r="F9" i="7" s="1"/>
  <c r="D78" i="6"/>
  <c r="D80" i="6"/>
  <c r="G6" i="7" l="1"/>
  <c r="G99" i="7"/>
  <c r="D141" i="7"/>
  <c r="F141" i="7" s="1"/>
  <c r="G32" i="7"/>
  <c r="F152" i="7"/>
  <c r="G115" i="7" s="1"/>
  <c r="D51" i="6"/>
  <c r="D43" i="6"/>
  <c r="G195" i="7" l="1"/>
  <c r="D39" i="6"/>
  <c r="D30" i="6"/>
  <c r="D20" i="6"/>
  <c r="D22" i="6"/>
  <c r="D11" i="6"/>
  <c r="D10" i="6"/>
  <c r="D77" i="6"/>
  <c r="D73" i="6"/>
  <c r="D23" i="6"/>
  <c r="D8" i="6"/>
  <c r="D9" i="6"/>
  <c r="G196" i="7" l="1"/>
  <c r="G197" i="7" l="1"/>
  <c r="G198" i="7" s="1"/>
  <c r="G199" i="7" l="1"/>
  <c r="G200" i="7" s="1"/>
  <c r="G201" i="7" l="1"/>
  <c r="G202" i="7" s="1"/>
</calcChain>
</file>

<file path=xl/sharedStrings.xml><?xml version="1.0" encoding="utf-8"?>
<sst xmlns="http://schemas.openxmlformats.org/spreadsheetml/2006/main" count="604" uniqueCount="335">
  <si>
    <t>MINISTERIO DE EDUCACIÓN CIENCIA Y TECNOLOGÍA</t>
  </si>
  <si>
    <t>PROYECTO: ESCUELA DE EDUCACIÓN PARVULARIA "SAN RAFAEL"</t>
  </si>
  <si>
    <t>MUNICIPIO: SANTA ANA</t>
  </si>
  <si>
    <t>DEPARTAMENTO:  SANTA ANA          CÓDIGO:  10456</t>
  </si>
  <si>
    <t>No.</t>
  </si>
  <si>
    <t xml:space="preserve">DESCRIPCIÓN/PARTIDA </t>
  </si>
  <si>
    <t>UNIDAD</t>
  </si>
  <si>
    <t>CANTIDAD</t>
  </si>
  <si>
    <t>PRECIO UNITARIO</t>
  </si>
  <si>
    <t xml:space="preserve"> SUB-TOTAL </t>
  </si>
  <si>
    <t xml:space="preserve"> TOTAL PARTIDA </t>
  </si>
  <si>
    <t>OBRAS PRELIMINARES</t>
  </si>
  <si>
    <t>DEMOLICIONES Y DESMONTAJES</t>
  </si>
  <si>
    <t>1.1.1</t>
  </si>
  <si>
    <t>Demolicion y desalojo de piso de cemento o piso de concreto. (área exterior de modulo A).</t>
  </si>
  <si>
    <t>m²</t>
  </si>
  <si>
    <t>1.1.2</t>
  </si>
  <si>
    <t>Demolicion y desalojo de piso de cemento o piso de concreto. (Área de acceso - Exterior)</t>
  </si>
  <si>
    <t>1.1.3</t>
  </si>
  <si>
    <t>Demolicion de area rampa, incluye todos los desmontajes y desalojos.</t>
  </si>
  <si>
    <t>m³</t>
  </si>
  <si>
    <t>1.1.4</t>
  </si>
  <si>
    <t>Demolición de canaleta de concreto, incluye limpieza y desalojo.</t>
  </si>
  <si>
    <t>ml</t>
  </si>
  <si>
    <t>INTERVENCIONES EN VEGETACIÓN EXISTENTE.</t>
  </si>
  <si>
    <t>1.2.1</t>
  </si>
  <si>
    <t>Tala, destronconado y deraizado de arbol existente. Incluye (desalojo, limpieza y permiso de tala).</t>
  </si>
  <si>
    <t>u</t>
  </si>
  <si>
    <t>Nota: Las área a demoler se indica en plano de demolición, se deberá hacer los desalojos de material a un lugar autorizado, e incluye permiso de demolicion.</t>
  </si>
  <si>
    <t>REHABILITACIONES</t>
  </si>
  <si>
    <t>MÓDULO A - MODULO DE 2 AULAS (AULAS 1 - 2 ) - SERVICIOS SANITARIOS - ADMINISTRACION Y SERVICIO SANITARIO DE VISITAS</t>
  </si>
  <si>
    <t>2.1.1</t>
  </si>
  <si>
    <t>MODULO DE 2 AULAS PARVULARIAS (AULAS 1 - 2 )</t>
  </si>
  <si>
    <t>2.1.1.1</t>
  </si>
  <si>
    <t xml:space="preserve">REHABILITACIÓN DE 2 AULAS QUE INCLUYE:
Cambio de cubierta a techo insulado de 2", incluye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</si>
  <si>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2.1.2</t>
  </si>
  <si>
    <t>SERVICIO SANITARIO DE PARVULARIA DE 1 UNIDAD  (AULA 1)</t>
  </si>
  <si>
    <t>2.1.2.1</t>
  </si>
  <si>
    <t xml:space="preserve">REHABILITACIÓN DE 1 SERVICIO SANITARIO QUE INCLUYE:
Cambio de cubierta a techo insulado de 2", incluye limpieza, pintura de estructura de soporte, capote, hechura de cepos, tornillería, cambio de polín espacial a polin C.
Canales, fascias y bajadas de aguas lluvias incluye tubería subterránea a cajas de aguas lluvias con sus accesorios. 
Ventanas corredizas Y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APLICA TAMBIEN Ducha con accesorios. 
Barras de apoyo. 
Puertas y divisiones internas enunciadas en acabados 
Servicios sanitarios para personas discapacitadas. 
Instalaciones hidraulicas (sistema de distribución de agua potable y sistema de drenaje de aguas negras) en buenas condiciones de funcionamiento. 
Incluye desmontajes y desalojos. </t>
  </si>
  <si>
    <t>2.1.3</t>
  </si>
  <si>
    <t>ADMINISTRACION</t>
  </si>
  <si>
    <t>2.1.3.1</t>
  </si>
  <si>
    <t>REHABILITACIÓN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Puertas.
Incluye desmontajes y desalojos.</t>
  </si>
  <si>
    <t>2.1.3.2</t>
  </si>
  <si>
    <t>Divisiones internas del módulo: Suministro y construcción liviana de tabla yeso, dos caras con perfileria de lámina galvanizada calibre 26 como se indica en plano de acabados</t>
  </si>
  <si>
    <t>m2</t>
  </si>
  <si>
    <t>2.1.4</t>
  </si>
  <si>
    <t>SERVICIO SANITARIO MAESTROS DE 1 UNIDAD  (Anexo a Administración)</t>
  </si>
  <si>
    <t>2.1.4.1</t>
  </si>
  <si>
    <t xml:space="preserve">REHABILITACIÓN DE 1 SERVICIO SANITARIO QUE INCLUYE:
Cambio de cubierta a techo insulado de 2", incluye limpieza, pintura de estructura de soporte, capote, hechura de cepos, tornillería.
Canales, fascias y bajadas de aguas lluvias incluye tubería subterránea a cajas de aguas lluvias con sus accesorios. 
Ventanas corredizas Y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Puertas y divisiones internas enunciadas en acabados 
Instalaciones hidraulicas (sistema de distribución de agua potable y sistema de drenaje de aguas negras) en buenas condiciones de funcionamiento. 
Incluye desmontajes y desalojos. </t>
  </si>
  <si>
    <t>MÓDULO B - MODULO DE 4 AULAS (AULAS 3, 4, 5 Y 6 ) Y SERVICIOS SANITARIOS.</t>
  </si>
  <si>
    <t>2.2.1</t>
  </si>
  <si>
    <t>MODULO DE 4 AULAS PARVILARIAS (AULAS 3, 4, 5 Y 6 )</t>
  </si>
  <si>
    <t>2.2.1.1</t>
  </si>
  <si>
    <t xml:space="preserve">REHABILITACIÓN DE 4 AULAS QUE INCLUYE:
Cambio de cubierta a techo insulado de 2", incluye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</si>
  <si>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2.2.2</t>
  </si>
  <si>
    <t>SERVICIO SANITARIO DE PARVULARIA DE 2 UNIDADES  (AULAS 3 y 5)</t>
  </si>
  <si>
    <t>2.2.2.1</t>
  </si>
  <si>
    <t xml:space="preserve">REHABILITACIÓN DE 2 SERVICIO SANITARIO QUE INCLUYE:
Cambio de cubierta a techo insulado de 2", incluye limpieza, pintura de estructura de soporte, capote, hechura de cepos, tornillería, cambio de polín espacial a polin C.
Canales, fascias y bajadas de aguas lluvias incluye tubería subterránea a cajas de aguas lluvias con sus accesorios. 
Ventanas corredizas Y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APLICA TAMBIEN Ducha con accesorios. 
Barras de apoyo. 
Puertas y divisiones internas enunciadas en acabados 
Servicios sanitarios para personas discapacitadas. 
Instalaciones hidraulicas (sistema de distribución de agua potable y sistema de drenaje de aguas negras) en buenas condiciones de funcionamiento. 
Incluye desmontajes y desalojos. </t>
  </si>
  <si>
    <t>MÓDULO C - MODULO DE COCINA/BODEGA Y COMEDOR</t>
  </si>
  <si>
    <t>2.3.1</t>
  </si>
  <si>
    <t>MODULO DE COCINA/BODEGA/COMEDOR</t>
  </si>
  <si>
    <t>2.3.1.1</t>
  </si>
  <si>
    <t>REHABILITACIÓN DE 1 COCINA/BODEGA QUE INCLUYE:
e acuerdo a planos y especificaciones tecnicas, incluyen: Cambio de cubierta a techo insulado de 2", incluye limpieza, pintura de estructura de soporte, capote, hechura de cepos, tornillería o cambio de polín espacial a polin C. Instalaciones hidraulicas (sistema de distribución de agua potable y sistema de drenaje de aguas negras) en buenas condiciones de funcionamiento, incluye trampa de grasa. Suministro e instalacion de cortina metalica enrrollable, puertas, piso porcelanato y zocalo, Repello, Afinado y Pintado enchape azulejos altura segun planos, fregadero y grifo con sus accesorios. Canal y bajadas de aguas lluvias. Cambio Sistema Eléctrico incluye artefactos y dispositivos de acuerdo a especificaciones técnicas y normativa vigente. (Luminarias, tomacorrientes, interruptores). Desmontajes y desalojo. / Incluye trampa de grasa</t>
  </si>
  <si>
    <t>Nota: El costo debe incluir la conexión al sistema de agua potable y sistema de alcantarillado. Buen funcionamiento para recepcion de obra.</t>
  </si>
  <si>
    <t>MÓDULO D - MODULO DE 2 AULAS (AULAS 7 - 8 ) - SERVICIOS SANITARIOS</t>
  </si>
  <si>
    <t>2.4.1</t>
  </si>
  <si>
    <t>MODULO DE 2 AULAS PARVULARIAS (AULAS 7 - 8 )</t>
  </si>
  <si>
    <t>2.4.1.1</t>
  </si>
  <si>
    <t>2.4.2</t>
  </si>
  <si>
    <t>SERVICIO SANITARIO DE PARVULARIA DE 1 UNIDAD  (AULA 7)</t>
  </si>
  <si>
    <t>2.4.2.1</t>
  </si>
  <si>
    <t>CONSTRUCCIONES</t>
  </si>
  <si>
    <t>MÓDULO A - MODULO DE 2 AULAS (aulas 1 - 2 ) - SERVICIOS SANITARIOS - ADMINISTRACION Y SERVICIO SANITARIO DE VISITAS</t>
  </si>
  <si>
    <t>3.1.1</t>
  </si>
  <si>
    <t>1 SERVICIO SANITARIO DE PARVULARIA (aula 2)</t>
  </si>
  <si>
    <t>3.1.1.1</t>
  </si>
  <si>
    <t xml:space="preserve">CONSTRUCCIÓN DE 1 SERVICIO SANITARIO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 </t>
  </si>
  <si>
    <t>3.1.2</t>
  </si>
  <si>
    <t>1 SERVICIOS SANITARIO DE VISITAS A CONTRUIR EN MÓDULO A (Administración)</t>
  </si>
  <si>
    <t>3.1.2.1</t>
  </si>
  <si>
    <t>3.2.1</t>
  </si>
  <si>
    <t>2 SERVICIOS SANITARIOS DE PARVUALRIA  A CONTRUIR EN MÓDULO B (AULAS 4 - 6)</t>
  </si>
  <si>
    <t>3.2.1.1</t>
  </si>
  <si>
    <t xml:space="preserve">CONSTRUCCIÓN DE 2 SERVICIO SANITARIO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 </t>
  </si>
  <si>
    <t>MÓDULO D - MODULO DE 2 AULAS (AULAS 7 - 8 ) Y SERVICIOS SANITARIOS.</t>
  </si>
  <si>
    <t>3.3.1</t>
  </si>
  <si>
    <t>1 SERVICIO SANITARIO DE PARVULARIA A CONTRUIR EN MÓDULO D (AULA 8)</t>
  </si>
  <si>
    <t>3.3.1.1</t>
  </si>
  <si>
    <t>OBRAS EXTERIORES</t>
  </si>
  <si>
    <t>SALÓN DE USOS MULTIPLES (SUM)</t>
  </si>
  <si>
    <t>4.1.1</t>
  </si>
  <si>
    <t>CONSTRUCCION DEL SUM</t>
  </si>
  <si>
    <t>4.1.1.1</t>
  </si>
  <si>
    <t>CONSTRUCCION DE SUM. INCLUYE: Fundaciones, cubiertas de techo curvo autoportante.
Canales, fascias y bajadas de aguas lluvias. Incluye tubería subterránea a cajas de aguas lluvias y sus sus accesorios. Acabados para canchas deportivas. Piso de concreto segun especificaciones tecnicas.                                                                                          Sistema electrico y luminarias. Estructura metalica (columnas, vigas, placas).</t>
  </si>
  <si>
    <t>ACCESO PRINCIPAL</t>
  </si>
  <si>
    <t>4.2.1</t>
  </si>
  <si>
    <t>ACCESO PEATONAL PRINCIPAL.  MURO FACHADA CON TUBO ESTRUCTURAL .                                      Incluye:                                                                                                              -exacavacion y construcciones de fundaciones. Construccion de columnas.                                                        -Construcion de pared de block de concreto de 20X20X40 cm, repellado, afinado y pintado.                                                                                             -Suministro e intalacion de verja a base de tubo cuadro de 2"x2" y tubo rectangular de 2"x1", chapa 14 de acuerdo a planos y especificaciones tecnicas.</t>
  </si>
  <si>
    <t>RAMPAS DE ACCESO</t>
  </si>
  <si>
    <t>4.3.1</t>
  </si>
  <si>
    <t>Construcción de rampa de acceso, forjada y pavimentada con piso de concreto 0.07m f'c=180 kg/cm² (zona de comedor y módulo de S.S). Incluye relleno de suelo cemento. Pintura acrilica lavable. Pasamanos de Ho No.3 tubos en paralelo 2".</t>
  </si>
  <si>
    <t>AREA DE ASEO</t>
  </si>
  <si>
    <t>4.4.1</t>
  </si>
  <si>
    <t>CONSTRUCCION DE 1 AREA DE ASEO, QUE INCLUYE:
Trazo, nivelacion y excavaciones para fundaciones y piso.
Fundaciones y paredes de bloque de concreto de 15cm
Cubierta de techo a techo insulado, Incluye estructura de soporte, Capote.
Suministro e instalación de canales, fascias y bajadas de aguas lluvias
Ventanas corredizas.
Defensas tipo cuadrícula.
Piso de concreto f'c=210kg/cm2
Repello, Afinado y Pintura  a media altura lavable y el resto acrílica.
Sistema Eléctrico incluye artefactos y dispositivos de acuerdo a especificaciones técnicas y normativa vigente. (Luminarias, tomacorrientes, interruptores)
Sistema Electrico y Luminarias.
Puertas metalicas. Pila prefabricada con dos alas, e instalaciones de grifo.</t>
  </si>
  <si>
    <t>4.4.2</t>
  </si>
  <si>
    <t>AGUAS LLUVIAS</t>
  </si>
  <si>
    <t>4.5.1</t>
  </si>
  <si>
    <t>Suministro e instalación Tuberías de PVC Ø 15", 125 PSI (Incluye Accesorios, excavación, y compactación de suelo existente)</t>
  </si>
  <si>
    <t>4.5.2</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</si>
  <si>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</si>
  <si>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c/u</t>
  </si>
  <si>
    <t>4.5.3</t>
  </si>
  <si>
    <t>OBRAS ELÉCTRICAS EXTERIORES</t>
  </si>
  <si>
    <t>4.6.1</t>
  </si>
  <si>
    <t>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Sistema de vigilancia con circuito cerrado y camaras.
- Incluye pagos y trámites de compañía eléctrica y certificación de las instalaciones.</t>
  </si>
  <si>
    <t>S.G</t>
  </si>
  <si>
    <t>AREA RECREATIVA</t>
  </si>
  <si>
    <t>4.7.1</t>
  </si>
  <si>
    <t>Suministro e instalación de baldosas de caucho de 0.50 x 0.50 m, e = 0.02m color azul, para áreas recreativas al exterior.</t>
  </si>
  <si>
    <t>4.7.2</t>
  </si>
  <si>
    <t>Suministro e instalación de juegos infantiles para Parvularia de madera, con torre, deslizadores y columpios para un área de 4.80m x 4.80m.</t>
  </si>
  <si>
    <t>AREAS VERDES</t>
  </si>
  <si>
    <t>4.8.1</t>
  </si>
  <si>
    <t>Engramado con grama San Agustín</t>
  </si>
  <si>
    <t>4.8.2</t>
  </si>
  <si>
    <t>Siembra de plantas ornamentales.</t>
  </si>
  <si>
    <t>4.8.3</t>
  </si>
  <si>
    <t>Suministro e instalación de Grifo de 1/2" tipo pesado c/rosca.( en areas verdes y huerto)</t>
  </si>
  <si>
    <t>4.9.1</t>
  </si>
  <si>
    <t>MURO PERIMETRAL</t>
  </si>
  <si>
    <t>4.9.4</t>
  </si>
  <si>
    <t>Suministro e instalación de alambre razor de acero inoxidable, incluye tensor alambre de púas y escuadras con angulo de 1 " x 1/8" @1.50m</t>
  </si>
  <si>
    <t>4.9.5</t>
  </si>
  <si>
    <t xml:space="preserve">Suministro y aplicación pintura de primera calidad, acabado de alto brillo, Incluye limpieza y preparación de paredes. Dos manos de acabado uniforme. </t>
  </si>
  <si>
    <t>ACERAS Y ARRIATES</t>
  </si>
  <si>
    <t>4.11.1</t>
  </si>
  <si>
    <t>Piso de concreto FC = 210 Kg/cm2 ref.con electromalla 6/6 E=10 cm (en acera exterior)</t>
  </si>
  <si>
    <t>MEDIDAS AMBIENTALES Y SOCIALES</t>
  </si>
  <si>
    <t>5.1</t>
  </si>
  <si>
    <t>Medidas Ambientales (ver documento complementario PGAS)</t>
  </si>
  <si>
    <t>s/g</t>
  </si>
  <si>
    <t>5.2</t>
  </si>
  <si>
    <t>Medidas Sociales (Capacitaciones, rótulo, consultas, asambleas, oficina de queja, teléfono, buzones, etc.) (ver documento complementario PGAS)</t>
  </si>
  <si>
    <t>5.3</t>
  </si>
  <si>
    <t>Reubicacion Temporal de Adecuaciones.</t>
  </si>
  <si>
    <t>5.4</t>
  </si>
  <si>
    <t>Reubicacion Temporal Arrendamiento (incluye pagos de servicios basicos)</t>
  </si>
  <si>
    <t>TOTAL COSTOS DIRECTOS</t>
  </si>
  <si>
    <t>SUB TOTAL 1 (COSTO DIRECTO+IMPREVISTO+COSTO INDIRECTO)</t>
  </si>
  <si>
    <t>SUB TOTAL 2 (SUB TOTAL 1 + IVA)</t>
  </si>
  <si>
    <t>COSTO TOTAL</t>
  </si>
  <si>
    <t>EXTERIORES</t>
  </si>
  <si>
    <t>1.1.1.1</t>
  </si>
  <si>
    <t>Demolición y desalojo de piso de concreto existente, incluye limpieza y desalojo. (área exterior de modulo A).</t>
  </si>
  <si>
    <t>1.1.1.2</t>
  </si>
  <si>
    <t>Demolición de aceras existentes, incluye limpieza y desalojo. (Área de acceso - Exterior)</t>
  </si>
  <si>
    <t>1.1.1.3</t>
  </si>
  <si>
    <t>Demolición, limpieza y desalojo de rampa de concreto. (Área de acceso - Exterior)</t>
  </si>
  <si>
    <t>1.1.1.4</t>
  </si>
  <si>
    <t>1.1.1.5</t>
  </si>
  <si>
    <t>Desmontaje de rotulo de identificación existente del C.E.</t>
  </si>
  <si>
    <t>INTERIORES</t>
  </si>
  <si>
    <t>1.1.2.1</t>
  </si>
  <si>
    <t xml:space="preserve">Demolición y desalojo de piso de concreto existente, incluye limpieza y desalojo. (administracion + aulas 1-8 + servicios sanitarios de aulas +servicio sanitario de visitas*). </t>
  </si>
  <si>
    <t>1.1.2.2</t>
  </si>
  <si>
    <t>Demolición de área de pared, incluye limpieza y desalojo. (administración, + aulas 1-8 + servicios sanitarios de aulas +bodegas* + servicio sanitario visitas*+comedor*).</t>
  </si>
  <si>
    <t>1.1.2.3</t>
  </si>
  <si>
    <t>Demolición de enchape de azulejo existente, incluye limpieza y desalojo. (Administración + servicios sanitarios de aulas + servcio sanitario de visitas* + cocina*).</t>
  </si>
  <si>
    <t>1.1.2.4</t>
  </si>
  <si>
    <t>Desmontaje de división de madera existente. (administración + sanitarios de aulas)</t>
  </si>
  <si>
    <t>1.1.2.6</t>
  </si>
  <si>
    <t>Desmontaje de defensa metálica en ventana existente.  (servicio sanitario visitas*+comedor*+cocina*).</t>
  </si>
  <si>
    <t>1.1.2.7</t>
  </si>
  <si>
    <t>Desmontaje de ventanas  (servicio sanitario visitas*+comedor* + cocina*).</t>
  </si>
  <si>
    <t>1.1.2.8</t>
  </si>
  <si>
    <t>Desmontaje de puertas (accesos + administración + bodegas + servicio sanitario visitas*+comedor* + cocina*).</t>
  </si>
  <si>
    <t>1.1.2.9</t>
  </si>
  <si>
    <t>Desinstalacion de artefactos sanitarios.</t>
  </si>
  <si>
    <t>Destronconado y desraizado de arbol existentes. Incluye desalojo y limpieza</t>
  </si>
  <si>
    <t>1.2.2</t>
  </si>
  <si>
    <t>Tala, destronconado y deraizado de arbol existente. Incluye deasalojo y limpieza.</t>
  </si>
  <si>
    <t>NOTA: EL AREA A DEMOLER SE INDICA EN EL PLANO DE DEMOLICIONES.                                                                                                                     TODO DESALOJO DEBERA REALIZARCE EN EL UN LUGAR AUTORIZADO POR LA MUNICIPALIDAD.</t>
  </si>
  <si>
    <t>MODULO DE 2 AULAS PARVULARIAS (aulas 1 - 2 )</t>
  </si>
  <si>
    <t xml:space="preserve">REHABILITACIÓN DE 2 AULAS QUE INCLUYE:
Cambio de cubierta a techo insulado, incluye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</si>
  <si>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SERVICIO SANITARIO DE PARVULARIA DE 1 UNIDAD  (aula 1)</t>
  </si>
  <si>
    <t xml:space="preserve">REHABILITACIÓN DE 1 SERVICIO SANITARIO QUE INCLUYE:
Cambio de cubierta a techo insulado,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Barras de apoyo. 
Puertas y divisiones internas enunciadas en acabados 
Servicios sanitarios para personas discapacitadas. 
Instalaciones hidraulicas (sistema de distribución de agua potable y sistema de drenaje de aguas negras) en buenas condiciones de funcionamiento. 
Incluye desmontajes y desalojos. </t>
  </si>
  <si>
    <t>2.1.2.2</t>
  </si>
  <si>
    <t>Suministro e instalacion de ducha y operados de ducha, ambos accesorios de la mejor calidad.</t>
  </si>
  <si>
    <t>2 BODEGAS DIDACTICAS (aulas 1 - 2 )</t>
  </si>
  <si>
    <t xml:space="preserve">REHABILITACIÓN DE 2 BODEGAS DIDACTICAS QUE INCLUYE:
Cambio de cubierta a techo insulado,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Puerta metálica. 
Incluye desmontajes y desalojos. </t>
  </si>
  <si>
    <t>Suministro y mano de obra para la construcción de muro de bloque, incluye excavación, soleras de fundación, intermedias y de coronamiento.</t>
  </si>
  <si>
    <t>REHABILITACIÓN  QUE INCLUYE:
Cambio de cubierta a techo insulado,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Puerta metálica. 
Incluye desmontajes y desalojos.</t>
  </si>
  <si>
    <t>2.1.4.2</t>
  </si>
  <si>
    <t>2.1.5</t>
  </si>
  <si>
    <t>SERVICIO SANITARIO MAESTROS DE 1 UNIDAD  (administración)</t>
  </si>
  <si>
    <t>2.1.5.1</t>
  </si>
  <si>
    <t>MÓDULO B - MODULO DE 4 AULAS (aulas 3, 4, 5 Y 6 ) Y SERVICIOS SANITARIOS.</t>
  </si>
  <si>
    <t xml:space="preserve"> MODULO DE 4 AULAS PARVILARIAS (aulas 3, 4, 5 Y 6 )</t>
  </si>
  <si>
    <t xml:space="preserve">REHABILITACIÓN DE 4 AULAS QUE INCLUYE:
Cambio de cubierta a techo insulado,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 metálica. 
Incluye desmontajes y desalojos. </t>
  </si>
  <si>
    <t>2.2.1.2</t>
  </si>
  <si>
    <t>2.2.1.3</t>
  </si>
  <si>
    <t>Colocación de Base de suelo cemento 20:1, espesor 20.0 cm, para pisos (todos lo pisos en primer nivel como adoquines, baldosas, concreto, cerámica o porcelanato) incluye todos los materiales.</t>
  </si>
  <si>
    <t>2.2.1.4</t>
  </si>
  <si>
    <t>Piso de concreto f'c = 210 Kg/cm2 ref.con electromalla 6/6 E=10 cm</t>
  </si>
  <si>
    <t>SERVICIO SANITARIO DE PARVULARIA DE 2 UNIDADES  (aula 3 y 5)</t>
  </si>
  <si>
    <t xml:space="preserve">REHABILITACIÓN DE 2 SERVICIO SANITARIO QUE INCLUYE:
Cambio de cubierta a techo insulado,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Barras de apoyo. 
Puertas y divisiones internas enunciadas en acabados 
Servicios sanitarios para personas discapacitadas. 
Instalaciones hidraulicas (sistema de distribución de agua potable y sistema de drenaje de aguas negras) en buenas condiciones de funcionamiento. 
Incluye desmontajes y desalojos. </t>
  </si>
  <si>
    <t>2.2.2.2</t>
  </si>
  <si>
    <t>2.2.3</t>
  </si>
  <si>
    <t>4 BODEGAS DIDACTICAS (aulas 3, 4, 5 y 6 )</t>
  </si>
  <si>
    <t>2.2.3.1</t>
  </si>
  <si>
    <t xml:space="preserve">REHABILITACIÓN DE 4 BODEGAS DIDACTICAS QUE INCLUYE:
Cambio de cubierta a techo insulado,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Puerta metálica. 
Incluye desmontajes y desalojos. </t>
  </si>
  <si>
    <t>2.2.3.2</t>
  </si>
  <si>
    <t>MODULO DE COCINA/BODEGA</t>
  </si>
  <si>
    <t>REHABILITACIÓN DE 1 COCINA/BODEGA QUE INCLUYE:
Cambio de cubierta a techo insulado,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Sanitario.
Repello, Afinado y Pintado.
Azulejos
Cambio Sistema Eléctrico incluye artefactos y dispositivos de acuerdo a especificaciones técnicas y normativa vigente. (Luminarias, tomacorrientes, interruptores, detectore de humo, y circuito cerrado)
Fregadero de empotrar de 2 pocetas en acero inoxidable, incluye grifo cuello de ganso y accesorios de instalación
Instalación de muebles.
Incluye desmontajes y desalojos.
Nota: Se deberá diseñar sistema hidráulico y dejar las instalaciones de red potable y aguas negras conectada a la red pública en buenas condiciones de funcionamiento.</t>
  </si>
  <si>
    <t>2.3.2</t>
  </si>
  <si>
    <t>COMEDOR</t>
  </si>
  <si>
    <t>2.3.2.1</t>
  </si>
  <si>
    <t>Suministro e instalación de columna metálica caño HO Go 4" Cedula 40. Incluye dos manos de anticorrosivo.(Usar colores diferentes) y esmalte, considerar fundación del elemento embebido en pilastra de concreto 210 kg/cm² de 0.40cm de diámetro, 20% de la dimensión del elemento embebido.</t>
  </si>
  <si>
    <t>2.3.2.2</t>
  </si>
  <si>
    <t>Suministro e instalación de viga metálica de tubo estructural de 4"x4" t=3/16" incluye sujeción y pintura. (Área de pasillo de acceso)</t>
  </si>
  <si>
    <t>2.3.2.3</t>
  </si>
  <si>
    <t>Sustitución de polines para estructura de soporte de techo con Polín C de 4" Chapa 14 considerar dos manos de anticorrosivo y una mano de acabado final, además del desmontaje y desalojo de los sobrantes. Incluye conexión a refuerzo de pared existente.</t>
  </si>
  <si>
    <t>2.3.2.4</t>
  </si>
  <si>
    <t xml:space="preserve">Suministro y colocación de botaguas de lámina galvanizada calibre 26, para la sujeción deberá de realizarse un corte transversal para introducir al menos 1cm la lámina, además de la aplicación de sellador impermeabilizante elastomérico acrílico base agua </t>
  </si>
  <si>
    <t>2.3.2.5</t>
  </si>
  <si>
    <t>2.3.2.6</t>
  </si>
  <si>
    <t>2.3.2.7</t>
  </si>
  <si>
    <t xml:space="preserve">Suministro e instalación de Porcelanato de 60x60, color beige acabado mate, espesor 9 mm, pei 5, tráfico intenso. Pegamento especial para porcelanato </t>
  </si>
  <si>
    <t>2.3.2.8</t>
  </si>
  <si>
    <t>Suministro y aplicación de repello de superficies verticales hasta E=2cm, con mezcla prefabricada para repellos.</t>
  </si>
  <si>
    <t>2.3.2.9</t>
  </si>
  <si>
    <t>Suministro y aplicación de afinado en superficies verticales E=2mm, con mezcla prefabricada para afinados.</t>
  </si>
  <si>
    <t>2.3.2.10</t>
  </si>
  <si>
    <t xml:space="preserve">Suministro y aplicación de pintura de agua acrílica lavable de primera calidad, acabado mate, incluye limpieza y preparación de paredes con base. Dos manos acabado uniforme. </t>
  </si>
  <si>
    <t>2.3.2.11</t>
  </si>
  <si>
    <t>Suministro e instalación de lavamanos con pedal, poceta cuadrada en acero inoxidable, grifo tipo cuello de ganso incluye tubo de abasto metálico flexible y accesorios de conexión. Medidas 60.00cm de alto x 43.00cm frente x 42.00cm de fondo, poceta de 20.00cm de profundidad. incluye la conexión al sistema de abastecimiento de aguas y al sistema de alcantarillado garantizando su buen funcionamiento.</t>
  </si>
  <si>
    <t>MÓDULO D - MODULO DE 2 AULAS (aulas 7 - 8 ) - SERVICIOS SANITARIOS.</t>
  </si>
  <si>
    <t xml:space="preserve"> MODULO DE 2 AULAS PARVULARIAS (aula 7 - 8 )</t>
  </si>
  <si>
    <t xml:space="preserve">REHABILITACIÓN DE 2 AULAS QUE INCLUYE:
Cambio de cubierta a techo insulado, incluye limpieza, pintura de estructura de soporte, capote, hechura de cepos, tornillería.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 metálica. 
Incluye desmontajes y desalojos. </t>
  </si>
  <si>
    <t>2.4.1.2</t>
  </si>
  <si>
    <t>2.4.1.3</t>
  </si>
  <si>
    <t>2.4.1.4</t>
  </si>
  <si>
    <t>SERVICIO SANITARIO DE PARVULARIA DE 1 UNIDAD  (aula 7)</t>
  </si>
  <si>
    <t>2.4.2.2</t>
  </si>
  <si>
    <t>2.4.3</t>
  </si>
  <si>
    <t>4 BODEGAS DIDACTICAS (aulas 7 - 8 )</t>
  </si>
  <si>
    <t>2.4.3.1</t>
  </si>
  <si>
    <t>2.4.3.2</t>
  </si>
  <si>
    <t>CONSTRUCCIÓN DE 1 SERVICIO SANITARIO QUE INCLUYE:
Demolición de paredes y piso existente.
Fundaciones y paredes de bloque de concreto de 15cm
Cubierta de techo a techo insulado, Incluye estructura de soporte, Capote.
Suministro e instalación de canales, fascias y bajadas de aguas lluvias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Barras de apoyo. 
Puertas y divisiones internas enunciadas en acabados 
Servicios sanitarios para personas discapacitadas. 
Instalaciones hidraulicas (sistema de distribución de agua potable y sistema de drenaje de aguas negras) en buenas condiciones de funcionamiento. 
Incluye desmontajes y desalojos. 
Nota: Se deberá diseñar sistema hidráulico y dejar las instalaciones de red potable y aguas negras conectada a la red pública en buenas condiciones de funcionamiento.</t>
  </si>
  <si>
    <t>1 SERVICIOS SANITARIO DE VISITAS A CONTRUIR EN MÓDULO A (administración).</t>
  </si>
  <si>
    <t>CONSTRUCCIÓN DE 1 SERVICIO SANITARIO QUE INCLUYE:
Demolición de paredes y piso existente.
Fundaciones y paredes de bloque de concreto de 15cm
Cubierta de techo a techo insulado, Incluye estructura de soporte, Capote.
Suministro e instalación de canales, fascias y bajadas de aguas lluvias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Barras de apoyo. 
Puertas y divisiones internas enunciadas en acabados 
Servicios sanitarios para personas discapacitadas. 
Instalaciones hidraulicas (sistema de distribución de agua potable y sistema de drenaje de aguas negras) .
Incluye desmontajes y desalojos. 
Nota: Se deberá diseñar sistema hidráulico y dejar las instalaciones de red potable y aguas negras conectada a la red pública en buenas condiciones de funcionamiento.</t>
  </si>
  <si>
    <t>2 SERVICIOS SANITARIOS DE PARVUALRIA  A CONTRUIR EN MÓDULO B (aula 4 - 6)</t>
  </si>
  <si>
    <t>CONSTRUCCIÓN DE 2 SERVICIO SANITARIO QUE INCLUYE:
Demolición de paredes y piso existente.
Fundaciones y paredes de bloque de concreto de 15cm
Cubierta de techo a techo insulado, Incluye estructura de soporte, Capote.
Suministro e instalación de canales, fascias y bajadas de aguas lluvias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Barras de apoyo. 
Puertas y divisiones internas enunciadas en acabados 
Servicios sanitarios para personas discapacitadas. 
Instalaciones hidraulicas (sistema de distribución de agua potable y sistema de drenaje de aguas negras) .
Incluye desmontajes y desalojos. 
Nota: Se deberá diseñar sistema hidráulico y dejar las instalaciones de red potable y aguas negras conectada a la red pública en buenas condiciones de funcionamiento.</t>
  </si>
  <si>
    <t>MÓDULO D - MODULO DE 2 AULAS (aulas 7 - 8 ) Y SERVICIOS SANITARIOS.</t>
  </si>
  <si>
    <t>1 SERVICIO SANITARIO DE PARVULARIA A CONTRUIR EN MÓDULO D (aula 8)</t>
  </si>
  <si>
    <t>SALÓN DE USOS MPULTIPLES</t>
  </si>
  <si>
    <t>CUBIERTA DE TECHO CURVO</t>
  </si>
  <si>
    <t>Suminstro e instalación de Panel de techo curvo autoportante sin estructura, de aluminio, zinc y sílice,  calibre 24. Norma ASTM A792</t>
  </si>
  <si>
    <t>4.1.2</t>
  </si>
  <si>
    <t>ESTRUCTURA</t>
  </si>
  <si>
    <t>4.1.2.1</t>
  </si>
  <si>
    <t>Placa meálica 0.75x0.75x1", 12 pernos de anclaje #8 Fy=4200KG/cm2, L=1.00m +gancho estandar (Incluye tuerca hexagonal, arandela plana grado 60, incluye limpieza, concreto de nivelación, demoliciones, definición de arista y resanes)</t>
  </si>
  <si>
    <t>4.1.2.2</t>
  </si>
  <si>
    <t>Columna CJ1 4 tubos pipe standard 2" cha 40 acero A 36 celosía 1 1/4"@60°</t>
  </si>
  <si>
    <t>4.1.2.3</t>
  </si>
  <si>
    <t>Viga VJ1 3 tubos pipe standard 2" cha 40 acero A 36 celosia tubo pipe standard 1 1/4"@60°</t>
  </si>
  <si>
    <t>4.1.3</t>
  </si>
  <si>
    <t>PISO</t>
  </si>
  <si>
    <t>4.1.3.3</t>
  </si>
  <si>
    <t>Suministro y Aplicación de pintura para canchas deportivas mate, antideslizante y baja reflexión de luz</t>
  </si>
  <si>
    <t>Suministro e instalación de columna metálica caño HO Go 4" Cedula 40. Incluye dos manos de anticorrosivo.(Usar colores diferentes) y esmalte, considerar fundación del elemento embebido en pilastra de concreto 210 kg/cm² de 0.40cm de diámetro, 20% de la dimensión del elemento embebido. (Área de pasillo de acceso)</t>
  </si>
  <si>
    <t>4.2.2</t>
  </si>
  <si>
    <t>4.2.3</t>
  </si>
  <si>
    <t>4.2.4</t>
  </si>
  <si>
    <t>Suministro e instalación de Panel de techo tipo Sándwich, espesor de 20 mm, con Aislante de Poliuretano inyectado de alta densidad de 40Kg/m3 y 90% de celda cerrada, fabricado en línea continua de última generación, con ancho útil de 1.00m.
Lámina superior pre pintada al horno, color blanco con 3 grecas y film de polietileno protector, lámina inferior pre pintada al horno color blanco con microperfilado de 25 mm en huella de rolado.
Machimbrado con junta de neopreno para evitar puente térmico. Incluye platina de 1 ½ x 1/8 plg. (En estructura de polín espacial), tornillería, desmontaje y desalojo de techo existente. Sobre los tornillos autorroscantes se deberá de colocar material bituminoso o un sellador impermeabilizante elastómero acrílico a base de agua, incluye pintura general en estructura de techo existente, hechura de cepos.</t>
  </si>
  <si>
    <t>4.2.5</t>
  </si>
  <si>
    <t>Suministro e instalación de canal de agua lluvia con lámina galvanizada lisa # 26, resistente a la corrosión, norma ASTM A 653-M soldado y remachado, ganchos de Ho. De 1/2" a cada 0.50 m, con cañuela, acabado final exterior una mano de galvite y dos manos de pintura esmalte.</t>
  </si>
  <si>
    <t>4.2.6</t>
  </si>
  <si>
    <t>4.2.7</t>
  </si>
  <si>
    <t>4.2.8</t>
  </si>
  <si>
    <t>4.2.9</t>
  </si>
  <si>
    <t>Reparación de superficies metálicas: Pueden ser hierro o acero, la limpieza de la superficie con dual etch o similar para eliminar el óxido, Aplicar anticorrosivo (kromik metal primer o similar) siguiendo las instrucciones recomendadas para este producto. Se aplicarán 2 manos, No debe de dejarse el anticorrosivo sin pintar por más de dos semanas, posterior aplicación de kem lustral Enamel  o similar dos capas sucesivas para la aplicación de la segunda capa deberán transcurrir 24 horas. (reja existente y pasamanos existentes)</t>
  </si>
  <si>
    <t>RAMPA DE ACCESO 1</t>
  </si>
  <si>
    <t>4.3.1.1</t>
  </si>
  <si>
    <t xml:space="preserve">Trazo y nivelación </t>
  </si>
  <si>
    <t>4.3.1.2</t>
  </si>
  <si>
    <t>Excavación a mano hasta 1.50m (material semiduro).</t>
  </si>
  <si>
    <t>4.3.1.3</t>
  </si>
  <si>
    <t>Limpieza y desalojo del material resultante de excavaciones.</t>
  </si>
  <si>
    <t>4.3.1.4</t>
  </si>
  <si>
    <t>Suministro y colocación de relleno compactado suelo-cemento. 20:1 (c/mat. selecto).</t>
  </si>
  <si>
    <t>4.3.1.5</t>
  </si>
  <si>
    <t>Suministro y colocación de relleno con suelo-cemento fluido 20:1</t>
  </si>
  <si>
    <t>4.3.1.6</t>
  </si>
  <si>
    <t>4.3.1.7</t>
  </si>
  <si>
    <t>Construcción de rampa de acceso, forjada y pavimentada con piso de concreto 0.07m f'c=180 kg/cm² (zona de comedor y módulo de S.S)</t>
  </si>
  <si>
    <t>4.3.1.8</t>
  </si>
  <si>
    <t>4.3.1.9</t>
  </si>
  <si>
    <t xml:space="preserve">Barandal metálico h=1.10mts  HoGo vertical 1-1/4"@1.50+3 HoGo hotizontal de 1" </t>
  </si>
  <si>
    <t>4.3.1.10</t>
  </si>
  <si>
    <t xml:space="preserve">Pasamanos de Ho No.3 tubos en paralelo 2" y soldados con Ho. No. 1.5" a cada 2.0 M. Según detalle adjunto. </t>
  </si>
  <si>
    <t>4.3.2</t>
  </si>
  <si>
    <t>RAMPA DE ACCESO 2</t>
  </si>
  <si>
    <t>CONSTRUCCION DE 1 AREA DE ASEO, QUE INCLUYE:
Trazo, nivelacion y excavaciones para fundaciones y piso.
Fundaciones y paredes de bloque de concreto de 15cm
Cubierta de techo a techo insulado, Incluye estructura de soporte, Capote.
Suministro e instalación de canales, fascias y bajadas de aguas lluvias
Ventanas corredizas.
Defensas tipo cuadrícula.
Piso de concreto f'c=210kg/cm2
Repello, Afinado y Pintura  a media altura lavable y el resto acrílica.
Sistema Eléctrico incluye artefactos y dispositivos de acuerdo a especificaciones técnicas y normativa vigente. (Luminarias, tomacorrientes, interruptores)
Sistema Electrico y Luminarias.
Puertas metalicas.
Nota: Se deberá diseñar sistema hidráulico y dejar las instalaciones de red potable y aguas negras conectada a la red pública en buenas condiciones de funcionamiento.</t>
  </si>
  <si>
    <t>Suministro e Instalación de pila prefabricada dos alas; incluye base, incluye tubería y accesorios de agua potable y aguas negras</t>
  </si>
  <si>
    <t>4.4.3</t>
  </si>
  <si>
    <t>Nota: El costo debe incluir la conexión al sistema de alcantarillado. Buen funcionamiento para recepcion de obra.</t>
  </si>
  <si>
    <t xml:space="preserve">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Incluye pagos y trámites de compañía eléctrica y certificación de las instalaciones. </t>
  </si>
  <si>
    <t>Engramado con grama San agustín</t>
  </si>
  <si>
    <t>FACHADA Y MURO PERIMETRAL</t>
  </si>
  <si>
    <t>FACHADA</t>
  </si>
  <si>
    <t>4.9.1.1</t>
  </si>
  <si>
    <t>INTERVENCIÓN DE FACHADA INCLUYE:
-Portón de acceso peatonal.
-Área de espera con sus elementos.
-Jardinera indicada en planos.
-Letras en relieve indicadas.
- Fundaciones de Muro y Columnas.
-Reja metálica indicada en planos.
-Techo, canales, bajadas de aguas lluvias y fascias.</t>
  </si>
  <si>
    <t>4.9.1.2</t>
  </si>
  <si>
    <t>Suministro e instlación de rótulo</t>
  </si>
  <si>
    <t>s.g.</t>
  </si>
  <si>
    <t>4.9.1.3</t>
  </si>
  <si>
    <t>Suministro e instalación de placa</t>
  </si>
  <si>
    <t>Piso de concreto FC = 210 Kg/cm2 ref.con electromalla 6/6 E=10 cm (en acera exterior) incluye base de suelo cemento</t>
  </si>
  <si>
    <t>COSTO DIRECTO</t>
  </si>
  <si>
    <t>IMPREVISTOS (20%)</t>
  </si>
  <si>
    <t>SUMA INDIRECTO (40%)</t>
  </si>
  <si>
    <t>SUBTOTAL 1(DIR+IND)</t>
  </si>
  <si>
    <t>SUMA IVA</t>
  </si>
  <si>
    <t>SUBTOTAL 2 (IVA+INDIRECTOS)</t>
  </si>
  <si>
    <t>ARANCELES DE CONSTRUCCION (5%)</t>
  </si>
  <si>
    <t>GRAN TOTAL (CD+IMPREVISTOS+IVA+ARACELES DE CONSTRUCCIÓN)</t>
  </si>
  <si>
    <t>CONSTRUCCION DE TIENDA ESCOLAR</t>
  </si>
  <si>
    <t>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</si>
  <si>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S.G.</t>
  </si>
  <si>
    <t>4.10.1</t>
  </si>
  <si>
    <t>COSTOS INDIRECTOS</t>
  </si>
  <si>
    <t>ARANCELES DE CONSTRUCCIÓN 
(PAGO CONTRA PRESENTACION DE RECIBO A NOMBRE MINEDUCYT)</t>
  </si>
  <si>
    <t>IMPREVISTOS</t>
  </si>
  <si>
    <t xml:space="preserve">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</si>
</sst>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0.0"/>
    <numFmt numFmtId="166" formatCode="_-[$$-440A]* #,##0.00_-;\-[$$-440A]* #,##0.00_-;_-[$$-440A]* &quot;-&quot;??_-;_-@_-"/>
  </numFmts>
  <fonts count="19" x14ac:knownFonts="1">
    <font>
      <sz val="11"/>
      <color theme="1"/>
      <name val="Calibri"/>
      <family val="2"/>
      <scheme val="minor"/>
    </font>
    <font>
      <sz val="11"/>
      <color theme="1"/>
      <name val="Calibri"/>
      <family val="2"/>
      <scheme val="minor"/>
    </font>
    <font>
      <sz val="8"/>
      <name val="Calibri"/>
      <family val="2"/>
      <scheme val="minor"/>
    </font>
    <font>
      <b/>
      <sz val="18"/>
      <color theme="0"/>
      <name val="Swis721 Cn BT"/>
      <family val="2"/>
    </font>
    <font>
      <sz val="11"/>
      <name val="Swis721 Cn BT"/>
      <family val="2"/>
    </font>
    <font>
      <sz val="11"/>
      <color theme="0"/>
      <name val="Swis721 Cn BT"/>
      <family val="2"/>
    </font>
    <font>
      <sz val="10"/>
      <name val="Arial"/>
      <family val="2"/>
    </font>
    <font>
      <sz val="10"/>
      <color theme="1"/>
      <name val="Arial"/>
      <family val="2"/>
    </font>
    <font>
      <sz val="10"/>
      <color rgb="FF000000"/>
      <name val="Arial"/>
      <family val="2"/>
    </font>
    <font>
      <b/>
      <sz val="11"/>
      <color theme="0"/>
      <name val="Swis721 Cn BT"/>
      <family val="2"/>
    </font>
    <font>
      <b/>
      <sz val="10"/>
      <name val="Arial"/>
      <family val="2"/>
    </font>
    <font>
      <b/>
      <sz val="10"/>
      <color theme="0"/>
      <name val="Arial"/>
      <family val="2"/>
    </font>
    <font>
      <sz val="10"/>
      <color theme="0"/>
      <name val="Arial"/>
      <family val="2"/>
    </font>
    <font>
      <sz val="10"/>
      <color rgb="FFFF0000"/>
      <name val="Arial"/>
      <family val="2"/>
    </font>
    <font>
      <i/>
      <sz val="10"/>
      <name val="Arial"/>
      <family val="2"/>
    </font>
    <font>
      <b/>
      <sz val="10"/>
      <color theme="1"/>
      <name val="Arial"/>
      <family val="2"/>
    </font>
    <font>
      <b/>
      <sz val="11"/>
      <name val="Swis721 Cn BT"/>
      <family val="2"/>
    </font>
    <font>
      <b/>
      <sz val="10"/>
      <color rgb="FFFFFFFF"/>
      <name val="Arial"/>
      <family val="2"/>
    </font>
    <font>
      <b/>
      <sz val="18"/>
      <color theme="0"/>
      <name val="Arial"/>
      <family val="2"/>
    </font>
  </fonts>
  <fills count="9">
    <fill>
      <patternFill patternType="none"/>
    </fill>
    <fill>
      <patternFill patternType="gray125"/>
    </fill>
    <fill>
      <patternFill patternType="solid">
        <fgColor theme="3" tint="-0.249977111117893"/>
        <bgColor indexed="64"/>
      </patternFill>
    </fill>
    <fill>
      <patternFill patternType="solid">
        <fgColor rgb="FFFFFFFF"/>
        <bgColor indexed="64"/>
      </patternFill>
    </fill>
    <fill>
      <patternFill patternType="solid">
        <fgColor rgb="FFD9D9D9"/>
        <bgColor indexed="64"/>
      </patternFill>
    </fill>
    <fill>
      <patternFill patternType="solid">
        <fgColor theme="6"/>
        <bgColor indexed="64"/>
      </patternFill>
    </fill>
    <fill>
      <patternFill patternType="solid">
        <fgColor rgb="FF333F4F"/>
        <bgColor rgb="FF000000"/>
      </patternFill>
    </fill>
    <fill>
      <patternFill patternType="solid">
        <fgColor theme="0" tint="-0.249977111117893"/>
        <bgColor indexed="64"/>
      </patternFill>
    </fill>
    <fill>
      <patternFill patternType="solid">
        <fgColor theme="4" tint="0.79998168889431442"/>
        <bgColor indexed="64"/>
      </patternFill>
    </fill>
  </fills>
  <borders count="49">
    <border>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auto="1"/>
      </left>
      <right style="medium">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1" fillId="0" borderId="0"/>
  </cellStyleXfs>
  <cellXfs count="194">
    <xf numFmtId="0" fontId="0" fillId="0" borderId="0" xfId="0"/>
    <xf numFmtId="0" fontId="4" fillId="0" borderId="0" xfId="0" applyFont="1"/>
    <xf numFmtId="2" fontId="4" fillId="0" borderId="0" xfId="0" applyNumberFormat="1" applyFont="1"/>
    <xf numFmtId="0" fontId="5" fillId="0" borderId="0" xfId="0" applyFont="1"/>
    <xf numFmtId="0" fontId="4" fillId="0" borderId="0" xfId="0" applyFont="1" applyAlignment="1">
      <alignment horizontal="center"/>
    </xf>
    <xf numFmtId="2" fontId="6" fillId="0" borderId="6" xfId="0" applyNumberFormat="1" applyFont="1" applyBorder="1" applyAlignment="1">
      <alignment horizontal="center" vertical="center"/>
    </xf>
    <xf numFmtId="0" fontId="7" fillId="0" borderId="0" xfId="0" applyFont="1"/>
    <xf numFmtId="0" fontId="8" fillId="0" borderId="3" xfId="0" applyFont="1" applyBorder="1" applyAlignment="1">
      <alignment wrapText="1"/>
    </xf>
    <xf numFmtId="0" fontId="4" fillId="0" borderId="0" xfId="0" applyFont="1" applyAlignment="1">
      <alignment horizontal="center" vertical="center"/>
    </xf>
    <xf numFmtId="44" fontId="6" fillId="0" borderId="3" xfId="1" applyFont="1" applyFill="1" applyBorder="1" applyAlignment="1">
      <alignment horizontal="justify" vertical="center" wrapText="1"/>
    </xf>
    <xf numFmtId="0" fontId="6" fillId="0" borderId="3" xfId="0" applyFont="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2" fontId="10" fillId="4" borderId="8" xfId="0" applyNumberFormat="1" applyFont="1" applyFill="1" applyBorder="1" applyAlignment="1">
      <alignment horizontal="center" vertical="center" wrapText="1"/>
    </xf>
    <xf numFmtId="0" fontId="10" fillId="4" borderId="9" xfId="0" applyFont="1" applyFill="1" applyBorder="1" applyAlignment="1">
      <alignment horizontal="center" vertical="center" wrapText="1"/>
    </xf>
    <xf numFmtId="0" fontId="6" fillId="0" borderId="0" xfId="0" applyFont="1"/>
    <xf numFmtId="165" fontId="11" fillId="2" borderId="5" xfId="0" applyNumberFormat="1" applyFont="1" applyFill="1" applyBorder="1" applyAlignment="1">
      <alignment horizontal="center" vertical="center" wrapText="1"/>
    </xf>
    <xf numFmtId="164" fontId="11" fillId="2" borderId="17" xfId="0" applyNumberFormat="1" applyFont="1" applyFill="1" applyBorder="1" applyAlignment="1">
      <alignment vertical="center" wrapText="1"/>
    </xf>
    <xf numFmtId="0" fontId="12" fillId="0" borderId="0" xfId="0" applyFont="1"/>
    <xf numFmtId="0" fontId="10" fillId="4" borderId="30"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4" xfId="0" applyFont="1" applyFill="1" applyBorder="1" applyAlignment="1">
      <alignment horizontal="left" vertical="top" wrapText="1"/>
    </xf>
    <xf numFmtId="0" fontId="10" fillId="4" borderId="14" xfId="0" applyFont="1" applyFill="1" applyBorder="1" applyAlignment="1">
      <alignment horizontal="left" vertical="top" wrapText="1"/>
    </xf>
    <xf numFmtId="0" fontId="10" fillId="4" borderId="15" xfId="0" applyFont="1" applyFill="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justify" vertical="center" wrapText="1"/>
    </xf>
    <xf numFmtId="2" fontId="6" fillId="0" borderId="3" xfId="0" applyNumberFormat="1" applyFont="1" applyBorder="1" applyAlignment="1">
      <alignment horizontal="center" vertical="center" wrapText="1"/>
    </xf>
    <xf numFmtId="0" fontId="6" fillId="0" borderId="4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11" fillId="2" borderId="26" xfId="0" applyFont="1" applyFill="1" applyBorder="1" applyAlignment="1">
      <alignment horizontal="center" vertical="center" wrapText="1"/>
    </xf>
    <xf numFmtId="164" fontId="11" fillId="2" borderId="13" xfId="0" applyNumberFormat="1" applyFont="1" applyFill="1" applyBorder="1" applyAlignment="1">
      <alignment vertical="center" wrapText="1"/>
    </xf>
    <xf numFmtId="0" fontId="6" fillId="3" borderId="3" xfId="0" applyFont="1" applyFill="1" applyBorder="1" applyAlignment="1">
      <alignment horizontal="center" vertical="center" wrapText="1"/>
    </xf>
    <xf numFmtId="44" fontId="6" fillId="0" borderId="3" xfId="1" applyFont="1" applyBorder="1" applyAlignment="1">
      <alignment horizontal="justify" vertical="center" wrapText="1"/>
    </xf>
    <xf numFmtId="2" fontId="6" fillId="0" borderId="3" xfId="0" applyNumberFormat="1" applyFont="1" applyBorder="1" applyAlignment="1">
      <alignment horizontal="center" vertical="center"/>
    </xf>
    <xf numFmtId="0" fontId="6" fillId="0" borderId="4" xfId="0" applyFont="1" applyBorder="1" applyAlignment="1">
      <alignment horizontal="justify" vertical="center" wrapText="1"/>
    </xf>
    <xf numFmtId="2" fontId="6" fillId="0" borderId="14" xfId="0" applyNumberFormat="1" applyFont="1" applyBorder="1" applyAlignment="1">
      <alignment horizontal="center" vertical="center" wrapText="1"/>
    </xf>
    <xf numFmtId="44" fontId="6" fillId="0" borderId="14" xfId="1" applyFont="1" applyFill="1" applyBorder="1" applyAlignment="1">
      <alignment horizontal="justify" vertical="center" wrapText="1"/>
    </xf>
    <xf numFmtId="44" fontId="6" fillId="0" borderId="15" xfId="1" applyFont="1" applyFill="1" applyBorder="1" applyAlignment="1">
      <alignment horizontal="justify" vertical="center" wrapText="1"/>
    </xf>
    <xf numFmtId="0" fontId="7" fillId="0" borderId="3" xfId="0" applyFont="1" applyBorder="1" applyAlignment="1">
      <alignment horizontal="center" vertical="center"/>
    </xf>
    <xf numFmtId="0" fontId="7" fillId="0" borderId="3" xfId="0" applyFont="1" applyBorder="1" applyAlignment="1">
      <alignment horizontal="justify" vertical="center"/>
    </xf>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wrapText="1"/>
    </xf>
    <xf numFmtId="44" fontId="7" fillId="0" borderId="3" xfId="1" applyFont="1" applyFill="1" applyBorder="1" applyAlignment="1">
      <alignment horizontal="justify" vertical="center" wrapText="1"/>
    </xf>
    <xf numFmtId="0" fontId="7" fillId="0" borderId="3" xfId="0" applyFont="1" applyBorder="1" applyAlignment="1">
      <alignment horizontal="justify" vertical="center" wrapText="1"/>
    </xf>
    <xf numFmtId="44" fontId="6" fillId="0" borderId="3" xfId="1" applyFont="1" applyFill="1" applyBorder="1" applyAlignment="1">
      <alignment horizontal="center" vertical="center"/>
    </xf>
    <xf numFmtId="44" fontId="6" fillId="0" borderId="14" xfId="1" applyFont="1" applyBorder="1" applyAlignment="1">
      <alignment horizontal="justify" vertical="center" wrapText="1"/>
    </xf>
    <xf numFmtId="44" fontId="6" fillId="0" borderId="15" xfId="1" applyFont="1" applyBorder="1" applyAlignment="1">
      <alignment horizontal="justify" vertical="center" wrapText="1"/>
    </xf>
    <xf numFmtId="0" fontId="6" fillId="3" borderId="2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left" vertical="center" wrapText="1"/>
    </xf>
    <xf numFmtId="0" fontId="6" fillId="0" borderId="3" xfId="0" applyFont="1" applyBorder="1" applyAlignment="1">
      <alignment horizontal="left" vertical="center" wrapText="1"/>
    </xf>
    <xf numFmtId="44" fontId="6" fillId="0" borderId="3" xfId="1"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3" xfId="0" applyFont="1" applyBorder="1" applyAlignment="1">
      <alignment horizontal="justify" vertical="center"/>
    </xf>
    <xf numFmtId="0" fontId="10" fillId="4" borderId="24"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vertical="center" wrapText="1"/>
    </xf>
    <xf numFmtId="44" fontId="7" fillId="0" borderId="42" xfId="0" applyNumberFormat="1" applyFont="1" applyBorder="1" applyAlignment="1">
      <alignment vertical="center"/>
    </xf>
    <xf numFmtId="0" fontId="7" fillId="5" borderId="36" xfId="0" applyFont="1" applyFill="1" applyBorder="1" applyAlignment="1">
      <alignment horizontal="center" vertical="center"/>
    </xf>
    <xf numFmtId="0" fontId="7" fillId="5" borderId="36" xfId="0" applyFont="1" applyFill="1" applyBorder="1" applyAlignment="1">
      <alignment vertical="center"/>
    </xf>
    <xf numFmtId="44" fontId="7" fillId="5" borderId="36" xfId="0" applyNumberFormat="1" applyFont="1" applyFill="1" applyBorder="1" applyAlignment="1">
      <alignment vertical="center"/>
    </xf>
    <xf numFmtId="44" fontId="15" fillId="5" borderId="36" xfId="0" applyNumberFormat="1" applyFont="1" applyFill="1" applyBorder="1" applyAlignment="1">
      <alignment vertical="center"/>
    </xf>
    <xf numFmtId="0" fontId="6" fillId="0" borderId="14" xfId="0" applyFont="1" applyBorder="1" applyAlignment="1">
      <alignment horizontal="justify" vertical="center" wrapText="1"/>
    </xf>
    <xf numFmtId="0" fontId="16" fillId="4" borderId="2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2" fontId="4" fillId="0" borderId="3" xfId="0" applyNumberFormat="1" applyFont="1" applyBorder="1" applyAlignment="1">
      <alignment horizontal="center" vertical="center" wrapText="1"/>
    </xf>
    <xf numFmtId="44" fontId="4" fillId="0" borderId="3" xfId="1" applyFont="1" applyFill="1" applyBorder="1" applyAlignment="1">
      <alignment horizontal="justify" vertical="center" wrapText="1"/>
    </xf>
    <xf numFmtId="166" fontId="6" fillId="0" borderId="3" xfId="1" applyNumberFormat="1" applyFont="1" applyBorder="1" applyAlignment="1">
      <alignment horizontal="center" vertical="center" wrapText="1"/>
    </xf>
    <xf numFmtId="0" fontId="11" fillId="2" borderId="3" xfId="0" applyFont="1" applyFill="1" applyBorder="1" applyAlignment="1">
      <alignment horizontal="center" vertical="center" wrapText="1"/>
    </xf>
    <xf numFmtId="44" fontId="7" fillId="0" borderId="3" xfId="0" applyNumberFormat="1" applyFont="1" applyBorder="1" applyAlignment="1">
      <alignment vertical="center"/>
    </xf>
    <xf numFmtId="165" fontId="11" fillId="2" borderId="3" xfId="0" applyNumberFormat="1" applyFont="1" applyFill="1" applyBorder="1" applyAlignment="1">
      <alignment horizontal="center" vertical="center" wrapText="1"/>
    </xf>
    <xf numFmtId="164" fontId="11" fillId="2" borderId="3" xfId="0" applyNumberFormat="1" applyFont="1" applyFill="1" applyBorder="1" applyAlignment="1">
      <alignment vertical="center" wrapText="1"/>
    </xf>
    <xf numFmtId="0" fontId="6" fillId="7" borderId="3" xfId="0" applyFont="1" applyFill="1" applyBorder="1" applyAlignment="1">
      <alignment horizontal="center" vertical="center" wrapText="1"/>
    </xf>
    <xf numFmtId="166" fontId="17" fillId="6" borderId="3" xfId="0" applyNumberFormat="1" applyFont="1" applyFill="1" applyBorder="1" applyAlignment="1">
      <alignment vertical="center" wrapText="1"/>
    </xf>
    <xf numFmtId="44" fontId="15" fillId="8" borderId="3" xfId="0" applyNumberFormat="1" applyFont="1" applyFill="1" applyBorder="1" applyAlignment="1">
      <alignment vertical="center"/>
    </xf>
    <xf numFmtId="0" fontId="10" fillId="4" borderId="45" xfId="0" applyFont="1" applyFill="1" applyBorder="1" applyAlignment="1">
      <alignment horizontal="center" vertical="center" wrapText="1"/>
    </xf>
    <xf numFmtId="2" fontId="10" fillId="4" borderId="45" xfId="0" applyNumberFormat="1" applyFont="1" applyFill="1" applyBorder="1" applyAlignment="1">
      <alignment horizontal="center" vertical="center" wrapText="1"/>
    </xf>
    <xf numFmtId="165" fontId="6" fillId="0" borderId="3" xfId="1" applyNumberFormat="1" applyFont="1" applyBorder="1" applyAlignment="1">
      <alignment horizontal="center" vertical="center"/>
    </xf>
    <xf numFmtId="0" fontId="6" fillId="0" borderId="3" xfId="0" applyFont="1" applyBorder="1" applyAlignment="1">
      <alignment horizontal="center" vertical="center"/>
    </xf>
    <xf numFmtId="44" fontId="6" fillId="0" borderId="3" xfId="1" applyFont="1" applyFill="1" applyBorder="1" applyAlignment="1">
      <alignment horizontal="left" vertical="center" wrapText="1"/>
    </xf>
    <xf numFmtId="44" fontId="6" fillId="0" borderId="3" xfId="1" applyFont="1" applyBorder="1" applyAlignment="1">
      <alignment horizontal="left" vertical="center" wrapText="1"/>
    </xf>
    <xf numFmtId="44" fontId="7" fillId="0" borderId="3" xfId="1" applyFont="1" applyFill="1" applyBorder="1" applyAlignment="1">
      <alignment horizontal="left" vertical="center" wrapText="1"/>
    </xf>
    <xf numFmtId="166" fontId="6" fillId="0" borderId="3" xfId="1" applyNumberFormat="1" applyFont="1" applyFill="1" applyBorder="1" applyAlignment="1">
      <alignment horizontal="left" vertical="center" wrapText="1"/>
    </xf>
    <xf numFmtId="0" fontId="6" fillId="0" borderId="36" xfId="0" applyFont="1" applyBorder="1" applyAlignment="1">
      <alignment horizontal="center" vertical="center" wrapText="1"/>
    </xf>
    <xf numFmtId="2" fontId="6" fillId="0" borderId="36" xfId="0" applyNumberFormat="1" applyFont="1" applyBorder="1" applyAlignment="1">
      <alignment horizontal="center" vertical="center" wrapText="1"/>
    </xf>
    <xf numFmtId="44" fontId="7" fillId="0" borderId="36" xfId="1" applyFont="1" applyBorder="1" applyAlignment="1">
      <alignment horizontal="left" vertical="center" wrapText="1"/>
    </xf>
    <xf numFmtId="44" fontId="7" fillId="0" borderId="36" xfId="1" applyFont="1" applyFill="1" applyBorder="1" applyAlignment="1">
      <alignment horizontal="left" vertical="center" wrapText="1"/>
    </xf>
    <xf numFmtId="2" fontId="6" fillId="7" borderId="3" xfId="0" applyNumberFormat="1" applyFont="1" applyFill="1" applyBorder="1" applyAlignment="1">
      <alignment horizontal="center" vertical="center" wrapText="1"/>
    </xf>
    <xf numFmtId="0" fontId="11" fillId="2" borderId="3" xfId="0" applyFont="1" applyFill="1" applyBorder="1" applyAlignment="1">
      <alignment horizontal="left" vertical="center" wrapText="1"/>
    </xf>
    <xf numFmtId="0" fontId="6" fillId="7" borderId="3" xfId="0" applyFont="1" applyFill="1" applyBorder="1" applyAlignment="1">
      <alignment horizontal="left" vertical="top" wrapText="1"/>
    </xf>
    <xf numFmtId="0" fontId="6" fillId="0" borderId="3" xfId="0" applyFont="1" applyBorder="1" applyAlignment="1">
      <alignment horizontal="left" vertical="center" wrapText="1"/>
    </xf>
    <xf numFmtId="0" fontId="6" fillId="0" borderId="3" xfId="0" applyFont="1" applyBorder="1" applyAlignment="1">
      <alignment horizontal="left" vertical="top" wrapText="1"/>
    </xf>
    <xf numFmtId="0" fontId="6" fillId="7" borderId="3" xfId="0" applyFont="1" applyFill="1" applyBorder="1" applyAlignment="1">
      <alignment horizontal="left" vertical="center" wrapText="1"/>
    </xf>
    <xf numFmtId="0" fontId="6" fillId="0" borderId="3" xfId="0" applyFont="1" applyBorder="1" applyAlignment="1">
      <alignment horizontal="center" vertical="center" wrapText="1"/>
    </xf>
    <xf numFmtId="0" fontId="18" fillId="2" borderId="6" xfId="2" applyFont="1" applyFill="1" applyBorder="1" applyAlignment="1">
      <alignment horizontal="center" vertical="center"/>
    </xf>
    <xf numFmtId="0" fontId="11" fillId="2" borderId="4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8"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0" fillId="8" borderId="3" xfId="0" applyFont="1" applyFill="1" applyBorder="1" applyAlignment="1">
      <alignment horizontal="right" wrapText="1"/>
    </xf>
    <xf numFmtId="0" fontId="10" fillId="0" borderId="3" xfId="0" applyFont="1" applyBorder="1" applyAlignment="1">
      <alignment horizontal="right" wrapText="1"/>
    </xf>
    <xf numFmtId="0" fontId="10" fillId="0" borderId="3" xfId="0" applyFont="1" applyBorder="1" applyAlignment="1">
      <alignment horizontal="right" vertical="center" wrapText="1"/>
    </xf>
    <xf numFmtId="0" fontId="6" fillId="7" borderId="4" xfId="0" applyFont="1" applyFill="1" applyBorder="1" applyAlignment="1">
      <alignment horizontal="left" vertical="top" wrapText="1"/>
    </xf>
    <xf numFmtId="0" fontId="6" fillId="7" borderId="14" xfId="0" applyFont="1" applyFill="1" applyBorder="1" applyAlignment="1">
      <alignment horizontal="left" vertical="top" wrapText="1"/>
    </xf>
    <xf numFmtId="0" fontId="6" fillId="7" borderId="15" xfId="0" applyFont="1" applyFill="1" applyBorder="1" applyAlignment="1">
      <alignment horizontal="left" vertical="top" wrapText="1"/>
    </xf>
    <xf numFmtId="0" fontId="6" fillId="0" borderId="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5" xfId="0" applyFont="1" applyBorder="1" applyAlignment="1">
      <alignment horizontal="center" vertical="center" wrapText="1"/>
    </xf>
    <xf numFmtId="0" fontId="17" fillId="6" borderId="3" xfId="0" applyFont="1" applyFill="1" applyBorder="1" applyAlignment="1">
      <alignment horizontal="left" vertical="center" wrapText="1"/>
    </xf>
    <xf numFmtId="164" fontId="11" fillId="0" borderId="3" xfId="0" applyNumberFormat="1" applyFont="1" applyBorder="1" applyAlignment="1">
      <alignment horizontal="center" vertical="center" wrapText="1"/>
    </xf>
    <xf numFmtId="0" fontId="6" fillId="0" borderId="3" xfId="0" applyFont="1" applyBorder="1" applyAlignment="1">
      <alignment horizontal="center"/>
    </xf>
    <xf numFmtId="0" fontId="10" fillId="4" borderId="3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10" fillId="4" borderId="4" xfId="0" applyFont="1" applyFill="1" applyBorder="1" applyAlignment="1">
      <alignment horizontal="left" vertical="top" wrapText="1"/>
    </xf>
    <xf numFmtId="0" fontId="10" fillId="4" borderId="14" xfId="0" applyFont="1" applyFill="1" applyBorder="1" applyAlignment="1">
      <alignment horizontal="left" vertical="top" wrapText="1"/>
    </xf>
    <xf numFmtId="0" fontId="10" fillId="4" borderId="15" xfId="0" applyFont="1" applyFill="1" applyBorder="1" applyAlignment="1">
      <alignment horizontal="left" vertical="top" wrapText="1"/>
    </xf>
    <xf numFmtId="0" fontId="6" fillId="0" borderId="4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16" fillId="4" borderId="4" xfId="0" applyFont="1" applyFill="1" applyBorder="1" applyAlignment="1">
      <alignment horizontal="left" vertical="top" wrapText="1"/>
    </xf>
    <xf numFmtId="0" fontId="16" fillId="4" borderId="14" xfId="0" applyFont="1" applyFill="1" applyBorder="1" applyAlignment="1">
      <alignment horizontal="left" vertical="top" wrapText="1"/>
    </xf>
    <xf numFmtId="0" fontId="16" fillId="4" borderId="15" xfId="0" applyFont="1" applyFill="1" applyBorder="1" applyAlignment="1">
      <alignment horizontal="left" vertical="top" wrapText="1"/>
    </xf>
    <xf numFmtId="0" fontId="3" fillId="2" borderId="18" xfId="2" applyFont="1" applyFill="1" applyBorder="1" applyAlignment="1">
      <alignment horizontal="center" vertical="center"/>
    </xf>
    <xf numFmtId="0" fontId="3" fillId="2" borderId="19" xfId="2" applyFont="1" applyFill="1" applyBorder="1" applyAlignment="1">
      <alignment horizontal="center" vertical="center"/>
    </xf>
    <xf numFmtId="0" fontId="3" fillId="2" borderId="20" xfId="2"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1"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6" fillId="0" borderId="16" xfId="0" applyFont="1" applyBorder="1" applyAlignment="1">
      <alignment horizontal="center"/>
    </xf>
    <xf numFmtId="0" fontId="6" fillId="0" borderId="17" xfId="0" applyFont="1" applyBorder="1" applyAlignment="1">
      <alignment horizontal="center"/>
    </xf>
    <xf numFmtId="0" fontId="6" fillId="3" borderId="4" xfId="0" applyFont="1" applyFill="1" applyBorder="1" applyAlignment="1">
      <alignment horizontal="center" wrapText="1"/>
    </xf>
    <xf numFmtId="0" fontId="6" fillId="3" borderId="14" xfId="0" applyFont="1" applyFill="1" applyBorder="1" applyAlignment="1">
      <alignment horizontal="center" wrapText="1"/>
    </xf>
    <xf numFmtId="0" fontId="6" fillId="3" borderId="15" xfId="0" applyFont="1" applyFill="1" applyBorder="1" applyAlignment="1">
      <alignment horizontal="center" wrapText="1"/>
    </xf>
    <xf numFmtId="0" fontId="6" fillId="0" borderId="4"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1" fillId="2" borderId="22"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24" xfId="0" applyFont="1" applyFill="1" applyBorder="1" applyAlignment="1">
      <alignment horizontal="left" vertical="center" wrapText="1"/>
    </xf>
    <xf numFmtId="164" fontId="11" fillId="0" borderId="16" xfId="0" applyNumberFormat="1" applyFont="1" applyBorder="1" applyAlignment="1">
      <alignment horizontal="center" vertical="center" wrapText="1"/>
    </xf>
    <xf numFmtId="164" fontId="11" fillId="0" borderId="17"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6" fillId="3" borderId="44"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14"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15" fillId="5" borderId="37" xfId="0" applyFont="1" applyFill="1" applyBorder="1" applyAlignment="1">
      <alignment horizontal="right" vertical="center"/>
    </xf>
    <xf numFmtId="0" fontId="15" fillId="5" borderId="38" xfId="0" applyFont="1" applyFill="1" applyBorder="1" applyAlignment="1">
      <alignment horizontal="right" vertical="center"/>
    </xf>
    <xf numFmtId="0" fontId="15" fillId="5" borderId="39" xfId="0" applyFont="1" applyFill="1" applyBorder="1" applyAlignment="1">
      <alignment horizontal="right" vertical="center"/>
    </xf>
    <xf numFmtId="0" fontId="15" fillId="5" borderId="40" xfId="0" applyFont="1" applyFill="1" applyBorder="1" applyAlignment="1">
      <alignment horizontal="center" vertical="center"/>
    </xf>
    <xf numFmtId="0" fontId="15" fillId="5" borderId="41" xfId="0" applyFont="1" applyFill="1" applyBorder="1" applyAlignment="1">
      <alignment horizontal="center" vertical="center"/>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6" fillId="0" borderId="44" xfId="0" applyFont="1" applyBorder="1" applyAlignment="1">
      <alignment horizontal="center" vertical="center" wrapText="1"/>
    </xf>
    <xf numFmtId="0" fontId="6" fillId="0" borderId="35" xfId="0" applyFont="1" applyBorder="1" applyAlignment="1">
      <alignment horizontal="center" vertical="center" wrapText="1"/>
    </xf>
    <xf numFmtId="0" fontId="15" fillId="5" borderId="40" xfId="0" applyFont="1" applyFill="1" applyBorder="1" applyAlignment="1">
      <alignment horizontal="right" vertical="center"/>
    </xf>
    <xf numFmtId="0" fontId="15" fillId="5" borderId="14" xfId="0" applyFont="1" applyFill="1" applyBorder="1" applyAlignment="1">
      <alignment horizontal="right" vertical="center"/>
    </xf>
    <xf numFmtId="0" fontId="15" fillId="5" borderId="41" xfId="0" applyFont="1" applyFill="1" applyBorder="1" applyAlignment="1">
      <alignment horizontal="right" vertical="center"/>
    </xf>
    <xf numFmtId="0" fontId="10" fillId="0" borderId="4"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6" fillId="0" borderId="33" xfId="0" applyFont="1" applyBorder="1" applyAlignment="1">
      <alignment horizontal="center" vertical="center" wrapText="1"/>
    </xf>
  </cellXfs>
  <cellStyles count="3">
    <cellStyle name="Moneda" xfId="1" builtinId="4"/>
    <cellStyle name="Normal" xfId="0" builtinId="0"/>
    <cellStyle name="Normal 54" xfId="2" xr:uid="{00000000-0005-0000-0000-000002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5"/>
  <sheetViews>
    <sheetView tabSelected="1" view="pageBreakPreview" zoomScale="80" zoomScaleNormal="100" zoomScaleSheetLayoutView="80" zoomScalePageLayoutView="70" workbookViewId="0">
      <selection activeCell="A90" sqref="A90:F90"/>
    </sheetView>
  </sheetViews>
  <sheetFormatPr baseColWidth="10" defaultColWidth="11.453125" defaultRowHeight="14" x14ac:dyDescent="0.3"/>
  <cols>
    <col min="1" max="1" width="9.90625" style="8" customWidth="1"/>
    <col min="2" max="2" width="63.36328125" style="1" customWidth="1"/>
    <col min="3" max="3" width="9.90625" style="4" customWidth="1"/>
    <col min="4" max="4" width="11.36328125" style="2" customWidth="1"/>
    <col min="5" max="6" width="14.36328125" style="1" customWidth="1"/>
    <col min="7" max="7" width="20.6328125" style="1" customWidth="1"/>
    <col min="8" max="16384" width="11.453125" style="1"/>
  </cols>
  <sheetData>
    <row r="1" spans="1:8" s="3" customFormat="1" ht="23" x14ac:dyDescent="0.3">
      <c r="A1" s="101" t="s">
        <v>0</v>
      </c>
      <c r="B1" s="101"/>
      <c r="C1" s="101"/>
      <c r="D1" s="101"/>
      <c r="E1" s="101"/>
      <c r="F1" s="101"/>
      <c r="G1" s="101"/>
    </row>
    <row r="2" spans="1:8" s="3" customFormat="1" ht="14.4" customHeight="1" x14ac:dyDescent="0.3">
      <c r="A2" s="102" t="s">
        <v>1</v>
      </c>
      <c r="B2" s="103"/>
      <c r="C2" s="103"/>
      <c r="D2" s="103"/>
      <c r="E2" s="103"/>
      <c r="F2" s="103"/>
      <c r="G2" s="104"/>
    </row>
    <row r="3" spans="1:8" s="3" customFormat="1" ht="14.4" customHeight="1" x14ac:dyDescent="0.3">
      <c r="A3" s="105" t="s">
        <v>2</v>
      </c>
      <c r="B3" s="105"/>
      <c r="C3" s="105"/>
      <c r="D3" s="105"/>
      <c r="E3" s="105"/>
      <c r="F3" s="105"/>
      <c r="G3" s="105"/>
    </row>
    <row r="4" spans="1:8" s="3" customFormat="1" ht="14.4" customHeight="1" x14ac:dyDescent="0.3">
      <c r="A4" s="106" t="s">
        <v>3</v>
      </c>
      <c r="B4" s="107"/>
      <c r="C4" s="107"/>
      <c r="D4" s="107"/>
      <c r="E4" s="107"/>
      <c r="F4" s="107"/>
      <c r="G4" s="108"/>
    </row>
    <row r="5" spans="1:8" s="15" customFormat="1" ht="26" x14ac:dyDescent="0.25">
      <c r="A5" s="82" t="s">
        <v>4</v>
      </c>
      <c r="B5" s="82" t="s">
        <v>5</v>
      </c>
      <c r="C5" s="82" t="s">
        <v>6</v>
      </c>
      <c r="D5" s="83" t="s">
        <v>7</v>
      </c>
      <c r="E5" s="82" t="s">
        <v>8</v>
      </c>
      <c r="F5" s="82" t="s">
        <v>9</v>
      </c>
      <c r="G5" s="82" t="s">
        <v>10</v>
      </c>
    </row>
    <row r="6" spans="1:8" s="18" customFormat="1" x14ac:dyDescent="0.3">
      <c r="A6" s="77">
        <v>1</v>
      </c>
      <c r="B6" s="95" t="s">
        <v>11</v>
      </c>
      <c r="C6" s="95"/>
      <c r="D6" s="95"/>
      <c r="E6" s="95"/>
      <c r="F6" s="95"/>
      <c r="G6" s="78"/>
      <c r="H6" s="3"/>
    </row>
    <row r="7" spans="1:8" s="18" customFormat="1" x14ac:dyDescent="0.3">
      <c r="A7" s="79">
        <v>1.1000000000000001</v>
      </c>
      <c r="B7" s="96" t="s">
        <v>12</v>
      </c>
      <c r="C7" s="96"/>
      <c r="D7" s="96"/>
      <c r="E7" s="96"/>
      <c r="F7" s="96"/>
      <c r="G7" s="100"/>
      <c r="H7" s="3"/>
    </row>
    <row r="8" spans="1:8" s="15" customFormat="1" ht="25" x14ac:dyDescent="0.25">
      <c r="A8" s="10" t="s">
        <v>13</v>
      </c>
      <c r="B8" s="25" t="s">
        <v>14</v>
      </c>
      <c r="C8" s="10" t="s">
        <v>15</v>
      </c>
      <c r="D8" s="26">
        <f>ROUND(21.13+5.05,0)</f>
        <v>26</v>
      </c>
      <c r="E8" s="86"/>
      <c r="F8" s="86"/>
      <c r="G8" s="100"/>
    </row>
    <row r="9" spans="1:8" s="15" customFormat="1" ht="25" x14ac:dyDescent="0.25">
      <c r="A9" s="10" t="s">
        <v>16</v>
      </c>
      <c r="B9" s="25" t="s">
        <v>17</v>
      </c>
      <c r="C9" s="10" t="s">
        <v>15</v>
      </c>
      <c r="D9" s="26">
        <f>ROUND(15.15+2,0)</f>
        <v>17</v>
      </c>
      <c r="E9" s="86"/>
      <c r="F9" s="86"/>
      <c r="G9" s="100"/>
    </row>
    <row r="10" spans="1:8" s="15" customFormat="1" ht="12.5" x14ac:dyDescent="0.25">
      <c r="A10" s="10" t="s">
        <v>18</v>
      </c>
      <c r="B10" s="25" t="s">
        <v>19</v>
      </c>
      <c r="C10" s="10" t="s">
        <v>20</v>
      </c>
      <c r="D10" s="26">
        <f>ROUND(((8.4*1.88)/2)*1,0)</f>
        <v>8</v>
      </c>
      <c r="E10" s="86"/>
      <c r="F10" s="86"/>
      <c r="G10" s="100"/>
    </row>
    <row r="11" spans="1:8" s="15" customFormat="1" ht="12.5" x14ac:dyDescent="0.25">
      <c r="A11" s="10" t="s">
        <v>21</v>
      </c>
      <c r="B11" s="25" t="s">
        <v>22</v>
      </c>
      <c r="C11" s="10" t="s">
        <v>23</v>
      </c>
      <c r="D11" s="26">
        <f>ROUND(25.4+46.65+24.9+35.65+18+18.75+1,0)</f>
        <v>170</v>
      </c>
      <c r="E11" s="86"/>
      <c r="F11" s="86"/>
      <c r="G11" s="100"/>
    </row>
    <row r="12" spans="1:8" s="15" customFormat="1" ht="12.5" x14ac:dyDescent="0.25">
      <c r="A12" s="79">
        <v>1.2</v>
      </c>
      <c r="B12" s="96" t="s">
        <v>24</v>
      </c>
      <c r="C12" s="96"/>
      <c r="D12" s="96"/>
      <c r="E12" s="96"/>
      <c r="F12" s="96"/>
      <c r="G12" s="100"/>
    </row>
    <row r="13" spans="1:8" s="15" customFormat="1" ht="25" x14ac:dyDescent="0.25">
      <c r="A13" s="10" t="s">
        <v>25</v>
      </c>
      <c r="B13" s="25" t="s">
        <v>26</v>
      </c>
      <c r="C13" s="10" t="s">
        <v>27</v>
      </c>
      <c r="D13" s="26">
        <v>2</v>
      </c>
      <c r="E13" s="86"/>
      <c r="F13" s="86"/>
      <c r="G13" s="100"/>
    </row>
    <row r="14" spans="1:8" s="15" customFormat="1" ht="27.65" customHeight="1" x14ac:dyDescent="0.25">
      <c r="A14" s="10"/>
      <c r="B14" s="97" t="s">
        <v>28</v>
      </c>
      <c r="C14" s="97"/>
      <c r="D14" s="97"/>
      <c r="E14" s="97"/>
      <c r="F14" s="97"/>
      <c r="G14" s="100"/>
    </row>
    <row r="15" spans="1:8" s="18" customFormat="1" ht="13" x14ac:dyDescent="0.25">
      <c r="A15" s="75">
        <v>2</v>
      </c>
      <c r="B15" s="95" t="s">
        <v>29</v>
      </c>
      <c r="C15" s="95"/>
      <c r="D15" s="95"/>
      <c r="E15" s="95"/>
      <c r="F15" s="95"/>
      <c r="G15" s="78"/>
    </row>
    <row r="16" spans="1:8" s="15" customFormat="1" ht="26" customHeight="1" x14ac:dyDescent="0.25">
      <c r="A16" s="79">
        <v>2.1</v>
      </c>
      <c r="B16" s="96" t="s">
        <v>30</v>
      </c>
      <c r="C16" s="96"/>
      <c r="D16" s="96"/>
      <c r="E16" s="96"/>
      <c r="F16" s="96"/>
      <c r="G16" s="120"/>
    </row>
    <row r="17" spans="1:7" s="15" customFormat="1" ht="12.5" x14ac:dyDescent="0.25">
      <c r="A17" s="10" t="s">
        <v>31</v>
      </c>
      <c r="B17" s="98" t="s">
        <v>32</v>
      </c>
      <c r="C17" s="98"/>
      <c r="D17" s="98"/>
      <c r="E17" s="98"/>
      <c r="F17" s="98"/>
      <c r="G17" s="120"/>
    </row>
    <row r="18" spans="1:7" s="15" customFormat="1" ht="221.4" customHeight="1" x14ac:dyDescent="0.25">
      <c r="A18" s="32" t="s">
        <v>33</v>
      </c>
      <c r="B18" s="54" t="s">
        <v>34</v>
      </c>
      <c r="C18" s="10" t="s">
        <v>15</v>
      </c>
      <c r="D18" s="26">
        <v>167</v>
      </c>
      <c r="E18" s="86"/>
      <c r="F18" s="87"/>
      <c r="G18" s="120"/>
    </row>
    <row r="19" spans="1:7" s="15" customFormat="1" ht="12.5" x14ac:dyDescent="0.25">
      <c r="A19" s="79" t="s">
        <v>35</v>
      </c>
      <c r="B19" s="96" t="s">
        <v>36</v>
      </c>
      <c r="C19" s="96"/>
      <c r="D19" s="96"/>
      <c r="E19" s="96"/>
      <c r="F19" s="96"/>
      <c r="G19" s="120"/>
    </row>
    <row r="20" spans="1:7" s="15" customFormat="1" ht="274.5" customHeight="1" x14ac:dyDescent="0.25">
      <c r="A20" s="10" t="s">
        <v>37</v>
      </c>
      <c r="B20" s="54" t="s">
        <v>38</v>
      </c>
      <c r="C20" s="10" t="s">
        <v>15</v>
      </c>
      <c r="D20" s="26">
        <f>ROUND(4.8*1,0)</f>
        <v>5</v>
      </c>
      <c r="E20" s="86"/>
      <c r="F20" s="86"/>
      <c r="G20" s="120"/>
    </row>
    <row r="21" spans="1:7" s="15" customFormat="1" ht="12.5" x14ac:dyDescent="0.25">
      <c r="A21" s="79" t="s">
        <v>39</v>
      </c>
      <c r="B21" s="96" t="s">
        <v>40</v>
      </c>
      <c r="C21" s="96"/>
      <c r="D21" s="96"/>
      <c r="E21" s="96"/>
      <c r="F21" s="96"/>
      <c r="G21" s="120"/>
    </row>
    <row r="22" spans="1:7" s="15" customFormat="1" ht="195.75" customHeight="1" x14ac:dyDescent="0.25">
      <c r="A22" s="32" t="s">
        <v>41</v>
      </c>
      <c r="B22" s="54" t="s">
        <v>42</v>
      </c>
      <c r="C22" s="10" t="s">
        <v>15</v>
      </c>
      <c r="D22" s="26">
        <f>ROUND(77.3-3.4-3.4,0)</f>
        <v>71</v>
      </c>
      <c r="E22" s="86"/>
      <c r="F22" s="87"/>
      <c r="G22" s="120"/>
    </row>
    <row r="23" spans="1:7" s="15" customFormat="1" ht="37.5" x14ac:dyDescent="0.25">
      <c r="A23" s="32" t="s">
        <v>43</v>
      </c>
      <c r="B23" s="25" t="s">
        <v>44</v>
      </c>
      <c r="C23" s="10" t="s">
        <v>45</v>
      </c>
      <c r="D23" s="26">
        <f>+(((3+3.5)*3)/2)*2</f>
        <v>19.5</v>
      </c>
      <c r="E23" s="87"/>
      <c r="F23" s="87"/>
      <c r="G23" s="120"/>
    </row>
    <row r="24" spans="1:7" s="15" customFormat="1" ht="20.149999999999999" customHeight="1" x14ac:dyDescent="0.25">
      <c r="A24" s="79" t="s">
        <v>46</v>
      </c>
      <c r="B24" s="99" t="s">
        <v>47</v>
      </c>
      <c r="C24" s="99"/>
      <c r="D24" s="99"/>
      <c r="E24" s="99"/>
      <c r="F24" s="99"/>
      <c r="G24" s="120"/>
    </row>
    <row r="25" spans="1:7" s="15" customFormat="1" ht="241.5" customHeight="1" x14ac:dyDescent="0.25">
      <c r="A25" s="10" t="s">
        <v>48</v>
      </c>
      <c r="B25" s="54" t="s">
        <v>49</v>
      </c>
      <c r="C25" s="10" t="s">
        <v>45</v>
      </c>
      <c r="D25" s="26">
        <v>3.4</v>
      </c>
      <c r="E25" s="86"/>
      <c r="F25" s="87"/>
      <c r="G25" s="120"/>
    </row>
    <row r="26" spans="1:7" s="15" customFormat="1" ht="15.9" customHeight="1" x14ac:dyDescent="0.25">
      <c r="A26" s="79">
        <v>2.2000000000000002</v>
      </c>
      <c r="B26" s="96" t="s">
        <v>50</v>
      </c>
      <c r="C26" s="96"/>
      <c r="D26" s="96"/>
      <c r="E26" s="96"/>
      <c r="F26" s="96"/>
      <c r="G26" s="120"/>
    </row>
    <row r="27" spans="1:7" s="15" customFormat="1" ht="15.9" customHeight="1" x14ac:dyDescent="0.25">
      <c r="A27" s="10" t="s">
        <v>51</v>
      </c>
      <c r="B27" s="98" t="s">
        <v>52</v>
      </c>
      <c r="C27" s="98"/>
      <c r="D27" s="98"/>
      <c r="E27" s="98"/>
      <c r="F27" s="98"/>
      <c r="G27" s="120"/>
    </row>
    <row r="28" spans="1:7" s="15" customFormat="1" ht="217.5" customHeight="1" x14ac:dyDescent="0.25">
      <c r="A28" s="32" t="s">
        <v>53</v>
      </c>
      <c r="B28" s="54" t="s">
        <v>54</v>
      </c>
      <c r="C28" s="10" t="s">
        <v>15</v>
      </c>
      <c r="D28" s="26">
        <v>170.5</v>
      </c>
      <c r="E28" s="86"/>
      <c r="F28" s="87"/>
      <c r="G28" s="120"/>
    </row>
    <row r="29" spans="1:7" s="15" customFormat="1" ht="12.5" x14ac:dyDescent="0.25">
      <c r="A29" s="79" t="s">
        <v>55</v>
      </c>
      <c r="B29" s="96" t="s">
        <v>56</v>
      </c>
      <c r="C29" s="96"/>
      <c r="D29" s="96"/>
      <c r="E29" s="96"/>
      <c r="F29" s="96"/>
      <c r="G29" s="120"/>
    </row>
    <row r="30" spans="1:7" s="15" customFormat="1" ht="280.5" customHeight="1" x14ac:dyDescent="0.25">
      <c r="A30" s="32" t="s">
        <v>57</v>
      </c>
      <c r="B30" s="54" t="s">
        <v>58</v>
      </c>
      <c r="C30" s="10" t="s">
        <v>15</v>
      </c>
      <c r="D30" s="26">
        <f>ROUND(4.8*2,0)</f>
        <v>10</v>
      </c>
      <c r="E30" s="86"/>
      <c r="F30" s="87"/>
      <c r="G30" s="120"/>
    </row>
    <row r="31" spans="1:7" s="15" customFormat="1" ht="12.5" x14ac:dyDescent="0.25">
      <c r="A31" s="79">
        <v>2.2999999999999998</v>
      </c>
      <c r="B31" s="96" t="s">
        <v>59</v>
      </c>
      <c r="C31" s="96"/>
      <c r="D31" s="96"/>
      <c r="E31" s="96"/>
      <c r="F31" s="96"/>
      <c r="G31" s="120"/>
    </row>
    <row r="32" spans="1:7" s="15" customFormat="1" ht="12.5" x14ac:dyDescent="0.25">
      <c r="A32" s="10" t="s">
        <v>60</v>
      </c>
      <c r="B32" s="98" t="s">
        <v>61</v>
      </c>
      <c r="C32" s="98"/>
      <c r="D32" s="98"/>
      <c r="E32" s="98"/>
      <c r="F32" s="98"/>
      <c r="G32" s="120"/>
    </row>
    <row r="33" spans="1:7" s="15" customFormat="1" ht="184.25" customHeight="1" x14ac:dyDescent="0.25">
      <c r="A33" s="10" t="s">
        <v>62</v>
      </c>
      <c r="B33" s="54" t="s">
        <v>63</v>
      </c>
      <c r="C33" s="10" t="s">
        <v>15</v>
      </c>
      <c r="D33" s="26">
        <v>53</v>
      </c>
      <c r="E33" s="86"/>
      <c r="F33" s="86"/>
      <c r="G33" s="120"/>
    </row>
    <row r="34" spans="1:7" s="15" customFormat="1" ht="31.75" customHeight="1" x14ac:dyDescent="0.25">
      <c r="A34" s="32"/>
      <c r="B34" s="97" t="s">
        <v>64</v>
      </c>
      <c r="C34" s="97"/>
      <c r="D34" s="97"/>
      <c r="E34" s="97"/>
      <c r="F34" s="97"/>
      <c r="G34" s="120"/>
    </row>
    <row r="35" spans="1:7" s="15" customFormat="1" ht="12.5" x14ac:dyDescent="0.25">
      <c r="A35" s="79">
        <v>2.4</v>
      </c>
      <c r="B35" s="96" t="s">
        <v>65</v>
      </c>
      <c r="C35" s="96"/>
      <c r="D35" s="96"/>
      <c r="E35" s="96"/>
      <c r="F35" s="96"/>
      <c r="G35" s="120"/>
    </row>
    <row r="36" spans="1:7" s="15" customFormat="1" ht="12.5" x14ac:dyDescent="0.25">
      <c r="A36" s="10" t="s">
        <v>66</v>
      </c>
      <c r="B36" s="98" t="s">
        <v>67</v>
      </c>
      <c r="C36" s="98"/>
      <c r="D36" s="98"/>
      <c r="E36" s="98"/>
      <c r="F36" s="98"/>
      <c r="G36" s="120"/>
    </row>
    <row r="37" spans="1:7" s="15" customFormat="1" ht="220.75" customHeight="1" x14ac:dyDescent="0.25">
      <c r="A37" s="10" t="s">
        <v>68</v>
      </c>
      <c r="B37" s="54" t="s">
        <v>34</v>
      </c>
      <c r="C37" s="10" t="s">
        <v>15</v>
      </c>
      <c r="D37" s="26">
        <v>166.5</v>
      </c>
      <c r="E37" s="86"/>
      <c r="F37" s="86"/>
      <c r="G37" s="120"/>
    </row>
    <row r="38" spans="1:7" s="15" customFormat="1" ht="12.5" x14ac:dyDescent="0.25">
      <c r="A38" s="79" t="s">
        <v>69</v>
      </c>
      <c r="B38" s="96" t="s">
        <v>70</v>
      </c>
      <c r="C38" s="96"/>
      <c r="D38" s="96"/>
      <c r="E38" s="96"/>
      <c r="F38" s="96"/>
      <c r="G38" s="120"/>
    </row>
    <row r="39" spans="1:7" s="15" customFormat="1" ht="283.5" customHeight="1" x14ac:dyDescent="0.25">
      <c r="A39" s="10" t="s">
        <v>71</v>
      </c>
      <c r="B39" s="54" t="s">
        <v>38</v>
      </c>
      <c r="C39" s="10" t="s">
        <v>15</v>
      </c>
      <c r="D39" s="26">
        <f>ROUND(4.8*1,0)</f>
        <v>5</v>
      </c>
      <c r="E39" s="86"/>
      <c r="F39" s="86"/>
      <c r="G39" s="120"/>
    </row>
    <row r="40" spans="1:7" s="15" customFormat="1" ht="14.4" customHeight="1" x14ac:dyDescent="0.25">
      <c r="A40" s="75">
        <v>3</v>
      </c>
      <c r="B40" s="95" t="s">
        <v>72</v>
      </c>
      <c r="C40" s="95"/>
      <c r="D40" s="95"/>
      <c r="E40" s="95"/>
      <c r="F40" s="95"/>
      <c r="G40" s="78"/>
    </row>
    <row r="41" spans="1:7" s="15" customFormat="1" ht="28.25" customHeight="1" x14ac:dyDescent="0.25">
      <c r="A41" s="79">
        <v>3.1</v>
      </c>
      <c r="B41" s="96" t="s">
        <v>73</v>
      </c>
      <c r="C41" s="96"/>
      <c r="D41" s="96"/>
      <c r="E41" s="96"/>
      <c r="F41" s="96"/>
      <c r="G41" s="119"/>
    </row>
    <row r="42" spans="1:7" s="15" customFormat="1" ht="14.4" customHeight="1" x14ac:dyDescent="0.25">
      <c r="A42" s="10" t="s">
        <v>74</v>
      </c>
      <c r="B42" s="98" t="s">
        <v>75</v>
      </c>
      <c r="C42" s="98"/>
      <c r="D42" s="98"/>
      <c r="E42" s="98"/>
      <c r="F42" s="98"/>
      <c r="G42" s="119"/>
    </row>
    <row r="43" spans="1:7" s="15" customFormat="1" ht="298.25" customHeight="1" x14ac:dyDescent="0.25">
      <c r="A43" s="10" t="s">
        <v>76</v>
      </c>
      <c r="B43" s="54" t="s">
        <v>77</v>
      </c>
      <c r="C43" s="10" t="s">
        <v>15</v>
      </c>
      <c r="D43" s="26">
        <f>ROUND(4.8*1,0)</f>
        <v>5</v>
      </c>
      <c r="E43" s="86"/>
      <c r="F43" s="86"/>
      <c r="G43" s="119"/>
    </row>
    <row r="44" spans="1:7" s="15" customFormat="1" ht="12.5" x14ac:dyDescent="0.25">
      <c r="A44" s="79" t="s">
        <v>78</v>
      </c>
      <c r="B44" s="99" t="s">
        <v>79</v>
      </c>
      <c r="C44" s="99"/>
      <c r="D44" s="99"/>
      <c r="E44" s="99"/>
      <c r="F44" s="99"/>
      <c r="G44" s="119"/>
    </row>
    <row r="45" spans="1:7" s="15" customFormat="1" ht="293.14999999999998" customHeight="1" x14ac:dyDescent="0.25">
      <c r="A45" s="10" t="s">
        <v>80</v>
      </c>
      <c r="B45" s="54" t="s">
        <v>77</v>
      </c>
      <c r="C45" s="10" t="s">
        <v>15</v>
      </c>
      <c r="D45" s="26">
        <v>3.4</v>
      </c>
      <c r="E45" s="86"/>
      <c r="F45" s="86"/>
      <c r="G45" s="119"/>
    </row>
    <row r="46" spans="1:7" s="15" customFormat="1" ht="17.149999999999999" customHeight="1" x14ac:dyDescent="0.25">
      <c r="A46" s="79">
        <v>3.2</v>
      </c>
      <c r="B46" s="96" t="s">
        <v>50</v>
      </c>
      <c r="C46" s="96"/>
      <c r="D46" s="96"/>
      <c r="E46" s="96"/>
      <c r="F46" s="96"/>
      <c r="G46" s="119"/>
    </row>
    <row r="47" spans="1:7" s="15" customFormat="1" ht="17.149999999999999" customHeight="1" x14ac:dyDescent="0.25">
      <c r="A47" s="10" t="s">
        <v>81</v>
      </c>
      <c r="B47" s="98" t="s">
        <v>82</v>
      </c>
      <c r="C47" s="98"/>
      <c r="D47" s="98"/>
      <c r="E47" s="98"/>
      <c r="F47" s="98"/>
      <c r="G47" s="119"/>
    </row>
    <row r="48" spans="1:7" s="15" customFormat="1" ht="306" customHeight="1" x14ac:dyDescent="0.25">
      <c r="A48" s="10" t="s">
        <v>83</v>
      </c>
      <c r="B48" s="54" t="s">
        <v>84</v>
      </c>
      <c r="C48" s="10" t="s">
        <v>15</v>
      </c>
      <c r="D48" s="26">
        <f>ROUND(4.8*2,0)</f>
        <v>10</v>
      </c>
      <c r="E48" s="86"/>
      <c r="F48" s="87"/>
      <c r="G48" s="119"/>
    </row>
    <row r="49" spans="1:7" s="15" customFormat="1" ht="12.5" x14ac:dyDescent="0.25">
      <c r="A49" s="79">
        <v>3.3</v>
      </c>
      <c r="B49" s="96" t="s">
        <v>85</v>
      </c>
      <c r="C49" s="96"/>
      <c r="D49" s="96"/>
      <c r="E49" s="96"/>
      <c r="F49" s="96"/>
      <c r="G49" s="119"/>
    </row>
    <row r="50" spans="1:7" s="15" customFormat="1" ht="12.5" x14ac:dyDescent="0.25">
      <c r="A50" s="10" t="s">
        <v>86</v>
      </c>
      <c r="B50" s="98" t="s">
        <v>87</v>
      </c>
      <c r="C50" s="98"/>
      <c r="D50" s="98"/>
      <c r="E50" s="98"/>
      <c r="F50" s="98"/>
      <c r="G50" s="119"/>
    </row>
    <row r="51" spans="1:7" s="15" customFormat="1" ht="297" customHeight="1" x14ac:dyDescent="0.25">
      <c r="A51" s="10" t="s">
        <v>88</v>
      </c>
      <c r="B51" s="54" t="s">
        <v>77</v>
      </c>
      <c r="C51" s="10" t="s">
        <v>15</v>
      </c>
      <c r="D51" s="26">
        <f>ROUND(4.8*1,0)</f>
        <v>5</v>
      </c>
      <c r="E51" s="86"/>
      <c r="F51" s="87"/>
      <c r="G51" s="119"/>
    </row>
    <row r="52" spans="1:7" s="18" customFormat="1" ht="13" x14ac:dyDescent="0.25">
      <c r="A52" s="75">
        <v>4</v>
      </c>
      <c r="B52" s="95" t="s">
        <v>89</v>
      </c>
      <c r="C52" s="95"/>
      <c r="D52" s="95"/>
      <c r="E52" s="95"/>
      <c r="F52" s="95"/>
      <c r="G52" s="78"/>
    </row>
    <row r="53" spans="1:7" s="18" customFormat="1" ht="12.5" x14ac:dyDescent="0.25">
      <c r="A53" s="79">
        <v>4.0999999999999996</v>
      </c>
      <c r="B53" s="96" t="s">
        <v>90</v>
      </c>
      <c r="C53" s="96"/>
      <c r="D53" s="96"/>
      <c r="E53" s="96"/>
      <c r="F53" s="96"/>
      <c r="G53" s="115"/>
    </row>
    <row r="54" spans="1:7" s="18" customFormat="1" ht="12.5" x14ac:dyDescent="0.25">
      <c r="A54" s="10" t="s">
        <v>91</v>
      </c>
      <c r="B54" s="98" t="s">
        <v>92</v>
      </c>
      <c r="C54" s="98"/>
      <c r="D54" s="98"/>
      <c r="E54" s="98"/>
      <c r="F54" s="98"/>
      <c r="G54" s="116"/>
    </row>
    <row r="55" spans="1:7" s="18" customFormat="1" ht="75" x14ac:dyDescent="0.25">
      <c r="A55" s="41" t="s">
        <v>93</v>
      </c>
      <c r="B55" s="25" t="s">
        <v>94</v>
      </c>
      <c r="C55" s="10" t="s">
        <v>15</v>
      </c>
      <c r="D55" s="26">
        <v>85</v>
      </c>
      <c r="E55" s="86"/>
      <c r="F55" s="86"/>
      <c r="G55" s="116"/>
    </row>
    <row r="56" spans="1:7" s="18" customFormat="1" ht="12.5" x14ac:dyDescent="0.25">
      <c r="A56" s="79">
        <v>4.2</v>
      </c>
      <c r="B56" s="96" t="s">
        <v>95</v>
      </c>
      <c r="C56" s="96"/>
      <c r="D56" s="96"/>
      <c r="E56" s="96"/>
      <c r="F56" s="96"/>
      <c r="G56" s="116"/>
    </row>
    <row r="57" spans="1:7" s="18" customFormat="1" ht="120" customHeight="1" x14ac:dyDescent="0.25">
      <c r="A57" s="10" t="s">
        <v>96</v>
      </c>
      <c r="B57" s="40" t="s">
        <v>97</v>
      </c>
      <c r="C57" s="10" t="s">
        <v>15</v>
      </c>
      <c r="D57" s="42">
        <v>18</v>
      </c>
      <c r="E57" s="88"/>
      <c r="F57" s="88"/>
      <c r="G57" s="116"/>
    </row>
    <row r="58" spans="1:7" s="18" customFormat="1" ht="12.5" x14ac:dyDescent="0.25">
      <c r="A58" s="79">
        <v>4.3</v>
      </c>
      <c r="B58" s="96" t="s">
        <v>98</v>
      </c>
      <c r="C58" s="96"/>
      <c r="D58" s="96"/>
      <c r="E58" s="96"/>
      <c r="F58" s="96"/>
      <c r="G58" s="116"/>
    </row>
    <row r="59" spans="1:7" s="18" customFormat="1" ht="61.75" customHeight="1" x14ac:dyDescent="0.25">
      <c r="A59" s="10" t="s">
        <v>99</v>
      </c>
      <c r="B59" s="25" t="s">
        <v>100</v>
      </c>
      <c r="C59" s="10" t="s">
        <v>15</v>
      </c>
      <c r="D59" s="26">
        <v>32</v>
      </c>
      <c r="E59" s="86"/>
      <c r="F59" s="86"/>
      <c r="G59" s="116"/>
    </row>
    <row r="60" spans="1:7" s="18" customFormat="1" ht="12.5" x14ac:dyDescent="0.25">
      <c r="A60" s="79">
        <v>4.4000000000000004</v>
      </c>
      <c r="B60" s="96" t="s">
        <v>101</v>
      </c>
      <c r="C60" s="96"/>
      <c r="D60" s="96"/>
      <c r="E60" s="96"/>
      <c r="F60" s="96"/>
      <c r="G60" s="116"/>
    </row>
    <row r="61" spans="1:7" s="18" customFormat="1" ht="194.4" customHeight="1" x14ac:dyDescent="0.25">
      <c r="A61" s="10" t="s">
        <v>102</v>
      </c>
      <c r="B61" s="54" t="s">
        <v>103</v>
      </c>
      <c r="C61" s="10" t="s">
        <v>15</v>
      </c>
      <c r="D61" s="26">
        <v>15</v>
      </c>
      <c r="E61" s="86"/>
      <c r="F61" s="86"/>
      <c r="G61" s="116"/>
    </row>
    <row r="62" spans="1:7" s="18" customFormat="1" ht="30" customHeight="1" x14ac:dyDescent="0.25">
      <c r="A62" s="85" t="s">
        <v>104</v>
      </c>
      <c r="B62" s="97" t="s">
        <v>64</v>
      </c>
      <c r="C62" s="97"/>
      <c r="D62" s="97"/>
      <c r="E62" s="97"/>
      <c r="F62" s="97"/>
      <c r="G62" s="116"/>
    </row>
    <row r="63" spans="1:7" s="18" customFormat="1" ht="12.5" x14ac:dyDescent="0.25">
      <c r="A63" s="79">
        <v>4.5</v>
      </c>
      <c r="B63" s="96" t="s">
        <v>105</v>
      </c>
      <c r="C63" s="96"/>
      <c r="D63" s="96"/>
      <c r="E63" s="96"/>
      <c r="F63" s="96"/>
      <c r="G63" s="116"/>
    </row>
    <row r="64" spans="1:7" s="18" customFormat="1" ht="25" x14ac:dyDescent="0.25">
      <c r="A64" s="10" t="s">
        <v>106</v>
      </c>
      <c r="B64" s="57" t="s">
        <v>107</v>
      </c>
      <c r="C64" s="10" t="s">
        <v>23</v>
      </c>
      <c r="D64" s="26">
        <v>151</v>
      </c>
      <c r="E64" s="86"/>
      <c r="F64" s="86"/>
      <c r="G64" s="116"/>
    </row>
    <row r="65" spans="1:7" s="18" customFormat="1" ht="81" customHeight="1" x14ac:dyDescent="0.25">
      <c r="A65" s="10" t="s">
        <v>108</v>
      </c>
      <c r="B65" s="25" t="s">
        <v>109</v>
      </c>
      <c r="C65" s="10" t="s">
        <v>110</v>
      </c>
      <c r="D65" s="26">
        <v>5</v>
      </c>
      <c r="E65" s="86"/>
      <c r="F65" s="86"/>
      <c r="G65" s="116"/>
    </row>
    <row r="66" spans="1:7" s="18" customFormat="1" ht="25.25" customHeight="1" x14ac:dyDescent="0.25">
      <c r="A66" s="10" t="s">
        <v>111</v>
      </c>
      <c r="B66" s="97" t="s">
        <v>64</v>
      </c>
      <c r="C66" s="97"/>
      <c r="D66" s="97"/>
      <c r="E66" s="97"/>
      <c r="F66" s="97"/>
      <c r="G66" s="116"/>
    </row>
    <row r="67" spans="1:7" s="18" customFormat="1" ht="12.5" x14ac:dyDescent="0.25">
      <c r="A67" s="79">
        <v>4.5999999999999996</v>
      </c>
      <c r="B67" s="96" t="s">
        <v>112</v>
      </c>
      <c r="C67" s="96"/>
      <c r="D67" s="96"/>
      <c r="E67" s="96"/>
      <c r="F67" s="96"/>
      <c r="G67" s="116"/>
    </row>
    <row r="68" spans="1:7" s="18" customFormat="1" ht="212.5" x14ac:dyDescent="0.25">
      <c r="A68" s="51" t="s">
        <v>113</v>
      </c>
      <c r="B68" s="54" t="s">
        <v>114</v>
      </c>
      <c r="C68" s="10" t="s">
        <v>115</v>
      </c>
      <c r="D68" s="34">
        <v>1</v>
      </c>
      <c r="E68" s="86"/>
      <c r="F68" s="86"/>
      <c r="G68" s="116"/>
    </row>
    <row r="69" spans="1:7" s="18" customFormat="1" ht="12.5" x14ac:dyDescent="0.25">
      <c r="A69" s="79">
        <v>4.7</v>
      </c>
      <c r="B69" s="96" t="s">
        <v>116</v>
      </c>
      <c r="C69" s="96"/>
      <c r="D69" s="96"/>
      <c r="E69" s="96"/>
      <c r="F69" s="96"/>
      <c r="G69" s="116"/>
    </row>
    <row r="70" spans="1:7" s="18" customFormat="1" ht="25" x14ac:dyDescent="0.25">
      <c r="A70" s="10" t="s">
        <v>117</v>
      </c>
      <c r="B70" s="25" t="s">
        <v>118</v>
      </c>
      <c r="C70" s="10" t="s">
        <v>15</v>
      </c>
      <c r="D70" s="34">
        <v>86</v>
      </c>
      <c r="E70" s="86"/>
      <c r="F70" s="86"/>
      <c r="G70" s="116"/>
    </row>
    <row r="71" spans="1:7" s="18" customFormat="1" ht="25" x14ac:dyDescent="0.25">
      <c r="A71" s="10" t="s">
        <v>119</v>
      </c>
      <c r="B71" s="25" t="s">
        <v>120</v>
      </c>
      <c r="C71" s="10" t="s">
        <v>110</v>
      </c>
      <c r="D71" s="34">
        <v>1</v>
      </c>
      <c r="E71" s="86"/>
      <c r="F71" s="86"/>
      <c r="G71" s="116"/>
    </row>
    <row r="72" spans="1:7" s="18" customFormat="1" ht="12.5" x14ac:dyDescent="0.25">
      <c r="A72" s="79">
        <v>4.8</v>
      </c>
      <c r="B72" s="96" t="s">
        <v>121</v>
      </c>
      <c r="C72" s="96"/>
      <c r="D72" s="96"/>
      <c r="E72" s="96"/>
      <c r="F72" s="96"/>
      <c r="G72" s="116"/>
    </row>
    <row r="73" spans="1:7" s="18" customFormat="1" ht="12.5" x14ac:dyDescent="0.25">
      <c r="A73" s="10" t="s">
        <v>122</v>
      </c>
      <c r="B73" s="25" t="s">
        <v>123</v>
      </c>
      <c r="C73" s="10" t="s">
        <v>15</v>
      </c>
      <c r="D73" s="34">
        <f>ROUND((27.5+2.6+8.9+95.75+17.05+44.7+11.75)-12,0)</f>
        <v>196</v>
      </c>
      <c r="E73" s="86"/>
      <c r="F73" s="86"/>
      <c r="G73" s="116"/>
    </row>
    <row r="74" spans="1:7" s="18" customFormat="1" ht="12.5" x14ac:dyDescent="0.25">
      <c r="A74" s="10" t="s">
        <v>124</v>
      </c>
      <c r="B74" s="25" t="s">
        <v>125</v>
      </c>
      <c r="C74" s="10" t="s">
        <v>110</v>
      </c>
      <c r="D74" s="26">
        <v>75</v>
      </c>
      <c r="E74" s="86"/>
      <c r="F74" s="86"/>
      <c r="G74" s="116"/>
    </row>
    <row r="75" spans="1:7" s="18" customFormat="1" ht="25" x14ac:dyDescent="0.25">
      <c r="A75" s="10" t="s">
        <v>126</v>
      </c>
      <c r="B75" s="25" t="s">
        <v>127</v>
      </c>
      <c r="C75" s="10" t="s">
        <v>27</v>
      </c>
      <c r="D75" s="26">
        <v>4</v>
      </c>
      <c r="E75" s="86"/>
      <c r="F75" s="86"/>
      <c r="G75" s="116"/>
    </row>
    <row r="76" spans="1:7" s="18" customFormat="1" ht="12.5" x14ac:dyDescent="0.25">
      <c r="A76" s="79" t="s">
        <v>128</v>
      </c>
      <c r="B76" s="112" t="s">
        <v>129</v>
      </c>
      <c r="C76" s="113"/>
      <c r="D76" s="113"/>
      <c r="E76" s="113"/>
      <c r="F76" s="114"/>
      <c r="G76" s="116"/>
    </row>
    <row r="77" spans="1:7" s="18" customFormat="1" ht="25" x14ac:dyDescent="0.25">
      <c r="A77" s="10" t="s">
        <v>130</v>
      </c>
      <c r="B77" s="25" t="s">
        <v>131</v>
      </c>
      <c r="C77" s="10" t="s">
        <v>23</v>
      </c>
      <c r="D77" s="34">
        <f>161</f>
        <v>161</v>
      </c>
      <c r="E77" s="86"/>
      <c r="F77" s="86"/>
      <c r="G77" s="116"/>
    </row>
    <row r="78" spans="1:7" s="18" customFormat="1" ht="25" x14ac:dyDescent="0.25">
      <c r="A78" s="10" t="s">
        <v>132</v>
      </c>
      <c r="B78" s="25" t="s">
        <v>133</v>
      </c>
      <c r="C78" s="10" t="s">
        <v>15</v>
      </c>
      <c r="D78" s="34">
        <f>612*2</f>
        <v>1224</v>
      </c>
      <c r="E78" s="86"/>
      <c r="F78" s="86"/>
      <c r="G78" s="116"/>
    </row>
    <row r="79" spans="1:7" s="18" customFormat="1" ht="12.5" x14ac:dyDescent="0.25">
      <c r="A79" s="94">
        <v>4.0999999999999996</v>
      </c>
      <c r="B79" s="96" t="s">
        <v>134</v>
      </c>
      <c r="C79" s="96"/>
      <c r="D79" s="96"/>
      <c r="E79" s="96"/>
      <c r="F79" s="96"/>
      <c r="G79" s="116"/>
    </row>
    <row r="80" spans="1:7" s="18" customFormat="1" ht="25" x14ac:dyDescent="0.25">
      <c r="A80" s="10" t="s">
        <v>330</v>
      </c>
      <c r="B80" s="25" t="s">
        <v>136</v>
      </c>
      <c r="C80" s="10" t="s">
        <v>15</v>
      </c>
      <c r="D80" s="34">
        <f>25+2+8+25</f>
        <v>60</v>
      </c>
      <c r="E80" s="86"/>
      <c r="F80" s="86"/>
      <c r="G80" s="116"/>
    </row>
    <row r="81" spans="1:7" s="18" customFormat="1" ht="12.5" x14ac:dyDescent="0.25">
      <c r="A81" s="79">
        <v>4.1100000000000003</v>
      </c>
      <c r="B81" s="96" t="s">
        <v>327</v>
      </c>
      <c r="C81" s="96"/>
      <c r="D81" s="96"/>
      <c r="E81" s="96"/>
      <c r="F81" s="96"/>
      <c r="G81" s="116"/>
    </row>
    <row r="82" spans="1:7" s="18" customFormat="1" ht="112.5" x14ac:dyDescent="0.25">
      <c r="A82" s="10" t="s">
        <v>135</v>
      </c>
      <c r="B82" s="25" t="s">
        <v>328</v>
      </c>
      <c r="C82" s="90" t="s">
        <v>329</v>
      </c>
      <c r="D82" s="91">
        <v>1</v>
      </c>
      <c r="E82" s="92"/>
      <c r="F82" s="93"/>
      <c r="G82" s="117"/>
    </row>
    <row r="83" spans="1:7" s="18" customFormat="1" ht="12.9" customHeight="1" x14ac:dyDescent="0.25">
      <c r="A83" s="75">
        <v>5</v>
      </c>
      <c r="B83" s="118" t="s">
        <v>137</v>
      </c>
      <c r="C83" s="118"/>
      <c r="D83" s="118"/>
      <c r="E83" s="118"/>
      <c r="F83" s="118"/>
      <c r="G83" s="80"/>
    </row>
    <row r="84" spans="1:7" s="18" customFormat="1" ht="12.5" x14ac:dyDescent="0.25">
      <c r="A84" s="10" t="s">
        <v>138</v>
      </c>
      <c r="B84" s="7" t="s">
        <v>139</v>
      </c>
      <c r="C84" s="74" t="s">
        <v>140</v>
      </c>
      <c r="D84" s="84">
        <v>1</v>
      </c>
      <c r="E84" s="89"/>
      <c r="F84" s="89"/>
      <c r="G84" s="100"/>
    </row>
    <row r="85" spans="1:7" s="18" customFormat="1" ht="25" x14ac:dyDescent="0.25">
      <c r="A85" s="10" t="s">
        <v>141</v>
      </c>
      <c r="B85" s="7" t="s">
        <v>142</v>
      </c>
      <c r="C85" s="74" t="s">
        <v>140</v>
      </c>
      <c r="D85" s="84">
        <v>1</v>
      </c>
      <c r="E85" s="89"/>
      <c r="F85" s="89"/>
      <c r="G85" s="100"/>
    </row>
    <row r="86" spans="1:7" s="18" customFormat="1" ht="12.5" x14ac:dyDescent="0.25">
      <c r="A86" s="10" t="s">
        <v>143</v>
      </c>
      <c r="B86" s="7" t="s">
        <v>144</v>
      </c>
      <c r="C86" s="74" t="s">
        <v>140</v>
      </c>
      <c r="D86" s="84">
        <v>1</v>
      </c>
      <c r="E86" s="89"/>
      <c r="F86" s="89"/>
      <c r="G86" s="100"/>
    </row>
    <row r="87" spans="1:7" s="18" customFormat="1" ht="12.5" x14ac:dyDescent="0.25">
      <c r="A87" s="10" t="s">
        <v>145</v>
      </c>
      <c r="B87" s="7" t="s">
        <v>146</v>
      </c>
      <c r="C87" s="74" t="s">
        <v>140</v>
      </c>
      <c r="D87" s="84">
        <v>1</v>
      </c>
      <c r="E87" s="89"/>
      <c r="F87" s="89"/>
      <c r="G87" s="100"/>
    </row>
    <row r="88" spans="1:7" s="15" customFormat="1" ht="14.4" customHeight="1" x14ac:dyDescent="0.3">
      <c r="A88" s="110" t="s">
        <v>147</v>
      </c>
      <c r="B88" s="110"/>
      <c r="C88" s="110"/>
      <c r="D88" s="110"/>
      <c r="E88" s="110"/>
      <c r="F88" s="110"/>
      <c r="G88" s="76"/>
    </row>
    <row r="89" spans="1:7" s="15" customFormat="1" ht="14.15" customHeight="1" x14ac:dyDescent="0.3">
      <c r="A89" s="110" t="s">
        <v>333</v>
      </c>
      <c r="B89" s="110"/>
      <c r="C89" s="110"/>
      <c r="D89" s="110"/>
      <c r="E89" s="110"/>
      <c r="F89" s="110"/>
      <c r="G89" s="76"/>
    </row>
    <row r="90" spans="1:7" s="15" customFormat="1" ht="14.15" customHeight="1" x14ac:dyDescent="0.3">
      <c r="A90" s="110" t="s">
        <v>331</v>
      </c>
      <c r="B90" s="110"/>
      <c r="C90" s="110"/>
      <c r="D90" s="110"/>
      <c r="E90" s="110"/>
      <c r="F90" s="110"/>
      <c r="G90" s="76"/>
    </row>
    <row r="91" spans="1:7" s="15" customFormat="1" ht="14.15" customHeight="1" x14ac:dyDescent="0.3">
      <c r="A91" s="110" t="s">
        <v>148</v>
      </c>
      <c r="B91" s="110"/>
      <c r="C91" s="110"/>
      <c r="D91" s="110"/>
      <c r="E91" s="110"/>
      <c r="F91" s="110"/>
      <c r="G91" s="76"/>
    </row>
    <row r="92" spans="1:7" s="15" customFormat="1" ht="14.15" customHeight="1" x14ac:dyDescent="0.3">
      <c r="A92" s="110" t="s">
        <v>334</v>
      </c>
      <c r="B92" s="110"/>
      <c r="C92" s="110"/>
      <c r="D92" s="110"/>
      <c r="E92" s="110"/>
      <c r="F92" s="110"/>
      <c r="G92" s="76"/>
    </row>
    <row r="93" spans="1:7" s="15" customFormat="1" ht="14.15" customHeight="1" x14ac:dyDescent="0.3">
      <c r="A93" s="110" t="s">
        <v>149</v>
      </c>
      <c r="B93" s="110"/>
      <c r="C93" s="110"/>
      <c r="D93" s="110"/>
      <c r="E93" s="110"/>
      <c r="F93" s="110"/>
      <c r="G93" s="76"/>
    </row>
    <row r="94" spans="1:7" s="15" customFormat="1" ht="30.75" customHeight="1" x14ac:dyDescent="0.25">
      <c r="A94" s="111" t="s">
        <v>332</v>
      </c>
      <c r="B94" s="111"/>
      <c r="C94" s="111"/>
      <c r="D94" s="111"/>
      <c r="E94" s="111"/>
      <c r="F94" s="111"/>
      <c r="G94" s="76"/>
    </row>
    <row r="95" spans="1:7" s="15" customFormat="1" ht="14.15" customHeight="1" x14ac:dyDescent="0.3">
      <c r="A95" s="109" t="s">
        <v>150</v>
      </c>
      <c r="B95" s="109"/>
      <c r="C95" s="109"/>
      <c r="D95" s="109"/>
      <c r="E95" s="109"/>
      <c r="F95" s="109"/>
      <c r="G95" s="81"/>
    </row>
  </sheetData>
  <mergeCells count="60">
    <mergeCell ref="G53:G82"/>
    <mergeCell ref="B81:F81"/>
    <mergeCell ref="G84:G87"/>
    <mergeCell ref="B38:F38"/>
    <mergeCell ref="B56:F56"/>
    <mergeCell ref="B44:F44"/>
    <mergeCell ref="B83:F83"/>
    <mergeCell ref="B79:F79"/>
    <mergeCell ref="B63:F63"/>
    <mergeCell ref="B66:F66"/>
    <mergeCell ref="G41:G51"/>
    <mergeCell ref="G16:G39"/>
    <mergeCell ref="B17:F17"/>
    <mergeCell ref="B19:F19"/>
    <mergeCell ref="B35:F35"/>
    <mergeCell ref="B41:F41"/>
    <mergeCell ref="B40:F40"/>
    <mergeCell ref="B36:F36"/>
    <mergeCell ref="B67:F67"/>
    <mergeCell ref="B72:F72"/>
    <mergeCell ref="B69:F69"/>
    <mergeCell ref="B60:F60"/>
    <mergeCell ref="B54:F54"/>
    <mergeCell ref="B49:F49"/>
    <mergeCell ref="B50:F50"/>
    <mergeCell ref="A95:F95"/>
    <mergeCell ref="B42:F42"/>
    <mergeCell ref="B46:F46"/>
    <mergeCell ref="B47:F47"/>
    <mergeCell ref="B53:F53"/>
    <mergeCell ref="B58:F58"/>
    <mergeCell ref="B62:F62"/>
    <mergeCell ref="B52:F52"/>
    <mergeCell ref="A93:F93"/>
    <mergeCell ref="A94:F94"/>
    <mergeCell ref="A88:F88"/>
    <mergeCell ref="A89:F89"/>
    <mergeCell ref="A90:F90"/>
    <mergeCell ref="A91:F91"/>
    <mergeCell ref="A92:F92"/>
    <mergeCell ref="B76:F76"/>
    <mergeCell ref="B7:F7"/>
    <mergeCell ref="G7:G14"/>
    <mergeCell ref="B12:F12"/>
    <mergeCell ref="B14:F14"/>
    <mergeCell ref="A1:G1"/>
    <mergeCell ref="A2:G2"/>
    <mergeCell ref="A3:G3"/>
    <mergeCell ref="A4:G4"/>
    <mergeCell ref="B6:F6"/>
    <mergeCell ref="B15:F15"/>
    <mergeCell ref="B21:F21"/>
    <mergeCell ref="B34:F34"/>
    <mergeCell ref="B32:F32"/>
    <mergeCell ref="B16:F16"/>
    <mergeCell ref="B26:F26"/>
    <mergeCell ref="B31:F31"/>
    <mergeCell ref="B24:F24"/>
    <mergeCell ref="B27:F27"/>
    <mergeCell ref="B29:F29"/>
  </mergeCells>
  <phoneticPr fontId="2" type="noConversion"/>
  <printOptions horizontalCentered="1"/>
  <pageMargins left="0.25" right="0.25" top="0.75" bottom="0.75" header="0.3" footer="0.3"/>
  <pageSetup scale="70" fitToHeight="0" orientation="portrait" horizontalDpi="1200" verticalDpi="1200" r:id="rId1"/>
  <rowBreaks count="6" manualBreakCount="6">
    <brk id="20" max="6" man="1"/>
    <brk id="28" max="6" man="1"/>
    <brk id="37" max="6" man="1"/>
    <brk id="45" max="6" man="1"/>
    <brk id="57" max="6" man="1"/>
    <brk id="6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2"/>
  <sheetViews>
    <sheetView view="pageBreakPreview" topLeftCell="A139" zoomScale="117" zoomScaleNormal="55" zoomScaleSheetLayoutView="55" zoomScalePageLayoutView="70" workbookViewId="0">
      <selection activeCell="B148" sqref="B148"/>
    </sheetView>
  </sheetViews>
  <sheetFormatPr baseColWidth="10" defaultColWidth="11.453125" defaultRowHeight="14" x14ac:dyDescent="0.3"/>
  <cols>
    <col min="1" max="1" width="9.90625" style="8" customWidth="1"/>
    <col min="2" max="2" width="63.36328125" style="1" customWidth="1"/>
    <col min="3" max="3" width="8.6328125" style="4" customWidth="1"/>
    <col min="4" max="4" width="11.36328125" style="2" customWidth="1"/>
    <col min="5" max="5" width="16.36328125" style="1" bestFit="1" customWidth="1"/>
    <col min="6" max="6" width="14.36328125" style="1" customWidth="1"/>
    <col min="7" max="7" width="20.6328125" style="1" customWidth="1"/>
    <col min="8" max="8" width="18.36328125" style="1" customWidth="1"/>
    <col min="9" max="16384" width="11.453125" style="1"/>
  </cols>
  <sheetData>
    <row r="1" spans="1:8" s="3" customFormat="1" ht="23.5" thickBot="1" x14ac:dyDescent="0.35">
      <c r="A1" s="137" t="s">
        <v>0</v>
      </c>
      <c r="B1" s="138"/>
      <c r="C1" s="138"/>
      <c r="D1" s="138"/>
      <c r="E1" s="138"/>
      <c r="F1" s="138"/>
      <c r="G1" s="139"/>
    </row>
    <row r="2" spans="1:8" s="3" customFormat="1" ht="14.4" customHeight="1" x14ac:dyDescent="0.3">
      <c r="A2" s="140" t="s">
        <v>1</v>
      </c>
      <c r="B2" s="141"/>
      <c r="C2" s="141"/>
      <c r="D2" s="141"/>
      <c r="E2" s="141"/>
      <c r="F2" s="141"/>
      <c r="G2" s="142"/>
    </row>
    <row r="3" spans="1:8" s="3" customFormat="1" ht="14.4" customHeight="1" x14ac:dyDescent="0.3">
      <c r="A3" s="143" t="s">
        <v>2</v>
      </c>
      <c r="B3" s="144"/>
      <c r="C3" s="144"/>
      <c r="D3" s="144"/>
      <c r="E3" s="144"/>
      <c r="F3" s="144"/>
      <c r="G3" s="145"/>
    </row>
    <row r="4" spans="1:8" s="3" customFormat="1" ht="14.4" customHeight="1" thickBot="1" x14ac:dyDescent="0.35">
      <c r="A4" s="143" t="s">
        <v>3</v>
      </c>
      <c r="B4" s="144"/>
      <c r="C4" s="144"/>
      <c r="D4" s="144"/>
      <c r="E4" s="144"/>
      <c r="F4" s="144"/>
      <c r="G4" s="145"/>
    </row>
    <row r="5" spans="1:8" s="15" customFormat="1" ht="44.15" customHeight="1" thickBot="1" x14ac:dyDescent="0.3">
      <c r="A5" s="11" t="s">
        <v>4</v>
      </c>
      <c r="B5" s="12" t="s">
        <v>5</v>
      </c>
      <c r="C5" s="12" t="s">
        <v>6</v>
      </c>
      <c r="D5" s="13" t="s">
        <v>7</v>
      </c>
      <c r="E5" s="12" t="s">
        <v>8</v>
      </c>
      <c r="F5" s="12" t="s">
        <v>9</v>
      </c>
      <c r="G5" s="14" t="s">
        <v>10</v>
      </c>
    </row>
    <row r="6" spans="1:8" s="18" customFormat="1" thickTop="1" thickBot="1" x14ac:dyDescent="0.3">
      <c r="A6" s="16">
        <v>1</v>
      </c>
      <c r="B6" s="146" t="s">
        <v>11</v>
      </c>
      <c r="C6" s="147"/>
      <c r="D6" s="147"/>
      <c r="E6" s="147"/>
      <c r="F6" s="148"/>
      <c r="G6" s="17">
        <f>ROUND(SUM(F9:F29),2)</f>
        <v>18958.32</v>
      </c>
      <c r="H6" s="6"/>
    </row>
    <row r="7" spans="1:8" s="18" customFormat="1" ht="13" x14ac:dyDescent="0.25">
      <c r="A7" s="19">
        <v>1.1000000000000001</v>
      </c>
      <c r="B7" s="121" t="s">
        <v>12</v>
      </c>
      <c r="C7" s="121"/>
      <c r="D7" s="121"/>
      <c r="E7" s="121"/>
      <c r="F7" s="121"/>
      <c r="G7" s="122"/>
      <c r="H7" s="6"/>
    </row>
    <row r="8" spans="1:8" s="18" customFormat="1" ht="13" x14ac:dyDescent="0.25">
      <c r="A8" s="20" t="s">
        <v>13</v>
      </c>
      <c r="B8" s="125" t="s">
        <v>151</v>
      </c>
      <c r="C8" s="126"/>
      <c r="D8" s="126"/>
      <c r="E8" s="126"/>
      <c r="F8" s="127"/>
      <c r="G8" s="123"/>
      <c r="H8" s="6"/>
    </row>
    <row r="9" spans="1:8" s="15" customFormat="1" ht="25" x14ac:dyDescent="0.25">
      <c r="A9" s="24" t="s">
        <v>152</v>
      </c>
      <c r="B9" s="25" t="s">
        <v>153</v>
      </c>
      <c r="C9" s="10" t="s">
        <v>15</v>
      </c>
      <c r="D9" s="26">
        <f>ROUND(21.13+5.05,0)</f>
        <v>26</v>
      </c>
      <c r="E9" s="9">
        <v>4.3319512346061018</v>
      </c>
      <c r="F9" s="9">
        <f t="shared" ref="F9:F13" si="0">E9*D9</f>
        <v>112.63073209975865</v>
      </c>
      <c r="G9" s="123"/>
      <c r="H9" s="6"/>
    </row>
    <row r="10" spans="1:8" s="15" customFormat="1" ht="25" x14ac:dyDescent="0.25">
      <c r="A10" s="24" t="s">
        <v>154</v>
      </c>
      <c r="B10" s="25" t="s">
        <v>155</v>
      </c>
      <c r="C10" s="10" t="s">
        <v>15</v>
      </c>
      <c r="D10" s="26">
        <f>ROUND(15.15+2,0)</f>
        <v>17</v>
      </c>
      <c r="E10" s="9">
        <v>4.3319512346061018</v>
      </c>
      <c r="F10" s="9">
        <f t="shared" si="0"/>
        <v>73.643170988303723</v>
      </c>
      <c r="G10" s="123"/>
      <c r="H10" s="6"/>
    </row>
    <row r="11" spans="1:8" s="15" customFormat="1" ht="25" x14ac:dyDescent="0.25">
      <c r="A11" s="24" t="s">
        <v>156</v>
      </c>
      <c r="B11" s="25" t="s">
        <v>157</v>
      </c>
      <c r="C11" s="10" t="s">
        <v>20</v>
      </c>
      <c r="D11" s="26">
        <f>ROUND(((8.4*1.88)/2)*1,0)</f>
        <v>8</v>
      </c>
      <c r="E11" s="9">
        <v>52.602264991645526</v>
      </c>
      <c r="F11" s="9">
        <f t="shared" si="0"/>
        <v>420.81811993316421</v>
      </c>
      <c r="G11" s="123"/>
      <c r="H11" s="6"/>
    </row>
    <row r="12" spans="1:8" s="15" customFormat="1" ht="12.5" x14ac:dyDescent="0.25">
      <c r="A12" s="24" t="s">
        <v>158</v>
      </c>
      <c r="B12" s="25" t="s">
        <v>22</v>
      </c>
      <c r="C12" s="10" t="s">
        <v>23</v>
      </c>
      <c r="D12" s="26">
        <f>ROUND(25.4+46.65+24.9+35.65+18+18.75+1,0)</f>
        <v>170</v>
      </c>
      <c r="E12" s="9">
        <v>21.659756173030512</v>
      </c>
      <c r="F12" s="9">
        <f t="shared" si="0"/>
        <v>3682.1585494151873</v>
      </c>
      <c r="G12" s="123"/>
      <c r="H12" s="6"/>
    </row>
    <row r="13" spans="1:8" s="15" customFormat="1" ht="12.5" x14ac:dyDescent="0.25">
      <c r="A13" s="24" t="s">
        <v>159</v>
      </c>
      <c r="B13" s="25" t="s">
        <v>160</v>
      </c>
      <c r="C13" s="10" t="s">
        <v>110</v>
      </c>
      <c r="D13" s="26">
        <v>1</v>
      </c>
      <c r="E13" s="9">
        <v>71.167770282814544</v>
      </c>
      <c r="F13" s="9">
        <f t="shared" si="0"/>
        <v>71.167770282814544</v>
      </c>
      <c r="G13" s="123"/>
      <c r="H13" s="6"/>
    </row>
    <row r="14" spans="1:8" s="15" customFormat="1" ht="12.5" x14ac:dyDescent="0.25">
      <c r="A14" s="27"/>
      <c r="B14" s="67"/>
      <c r="C14" s="28"/>
      <c r="D14" s="36"/>
      <c r="E14" s="37"/>
      <c r="F14" s="38"/>
      <c r="G14" s="123"/>
      <c r="H14" s="6"/>
    </row>
    <row r="15" spans="1:8" s="15" customFormat="1" x14ac:dyDescent="0.25">
      <c r="A15" s="68" t="s">
        <v>16</v>
      </c>
      <c r="B15" s="134" t="s">
        <v>161</v>
      </c>
      <c r="C15" s="135"/>
      <c r="D15" s="135"/>
      <c r="E15" s="135"/>
      <c r="F15" s="136"/>
      <c r="G15" s="123"/>
      <c r="H15" s="6"/>
    </row>
    <row r="16" spans="1:8" s="15" customFormat="1" ht="42" x14ac:dyDescent="0.25">
      <c r="A16" s="69" t="s">
        <v>162</v>
      </c>
      <c r="B16" s="70" t="s">
        <v>163</v>
      </c>
      <c r="C16" s="71" t="s">
        <v>15</v>
      </c>
      <c r="D16" s="72">
        <f>ROUND(2+(3.42*2)+(0.16*8)+(0.75*8)+(1.67*8)+(4.8*8)+(1.96*6),0)</f>
        <v>80</v>
      </c>
      <c r="E16" s="73">
        <v>4.3319512346061018</v>
      </c>
      <c r="F16" s="73">
        <f t="shared" ref="F16:F22" si="1">E16*D16</f>
        <v>346.55609876848814</v>
      </c>
      <c r="G16" s="123"/>
      <c r="H16" s="6"/>
    </row>
    <row r="17" spans="1:8" s="15" customFormat="1" ht="42" x14ac:dyDescent="0.25">
      <c r="A17" s="69" t="s">
        <v>164</v>
      </c>
      <c r="B17" s="70" t="s">
        <v>165</v>
      </c>
      <c r="C17" s="71" t="s">
        <v>15</v>
      </c>
      <c r="D17" s="72">
        <f>ROUND((1*2.1)+(1.2*2.2)+((2.4+1.2)*2.4)+(((1.3+0.45+0.45)*2.2)*8)+(((1.2+1)*1.6)*8)+((0.8*2.1)*8)+((0.9*1)*8)+((2.4*3)*8)+(((3.1+0.9)*2.4)*8)+((2.2*2.6)*8)+(((1.5+2.9)*2)*2.4)+(1.2*0.95)+(2.2*0.9),0)</f>
        <v>305</v>
      </c>
      <c r="E17" s="73">
        <v>38.368710935082625</v>
      </c>
      <c r="F17" s="73">
        <f t="shared" si="1"/>
        <v>11702.456835200201</v>
      </c>
      <c r="G17" s="123"/>
      <c r="H17" s="6"/>
    </row>
    <row r="18" spans="1:8" s="15" customFormat="1" ht="42" x14ac:dyDescent="0.25">
      <c r="A18" s="69" t="s">
        <v>166</v>
      </c>
      <c r="B18" s="70" t="s">
        <v>167</v>
      </c>
      <c r="C18" s="71" t="s">
        <v>15</v>
      </c>
      <c r="D18" s="72">
        <f>ROUND((5.5+(10.2*8)+7.2+3+2.65)*1.2,0)</f>
        <v>120</v>
      </c>
      <c r="E18" s="73">
        <v>13.614703880190607</v>
      </c>
      <c r="F18" s="73">
        <f t="shared" si="1"/>
        <v>1633.7644656228729</v>
      </c>
      <c r="G18" s="123"/>
      <c r="H18" s="6"/>
    </row>
    <row r="19" spans="1:8" s="15" customFormat="1" ht="28" x14ac:dyDescent="0.25">
      <c r="A19" s="69" t="s">
        <v>168</v>
      </c>
      <c r="B19" s="70" t="s">
        <v>169</v>
      </c>
      <c r="C19" s="71" t="s">
        <v>15</v>
      </c>
      <c r="D19" s="72">
        <f>ROUND(((2.8+2.8+2.8+4.5)*2.2)+((1.2*1.2)*8),0)</f>
        <v>40</v>
      </c>
      <c r="E19" s="73">
        <v>6.1885017637230035</v>
      </c>
      <c r="F19" s="73">
        <f t="shared" si="1"/>
        <v>247.54007054892014</v>
      </c>
      <c r="G19" s="123"/>
      <c r="H19" s="6"/>
    </row>
    <row r="20" spans="1:8" s="15" customFormat="1" ht="28" x14ac:dyDescent="0.25">
      <c r="A20" s="69" t="s">
        <v>170</v>
      </c>
      <c r="B20" s="70" t="s">
        <v>171</v>
      </c>
      <c r="C20" s="71" t="s">
        <v>15</v>
      </c>
      <c r="D20" s="72">
        <f>ROUND((0.6*0.4)+(2.2*1.1)+(1.6*1.1),0)</f>
        <v>4</v>
      </c>
      <c r="E20" s="73">
        <v>14.23</v>
      </c>
      <c r="F20" s="73">
        <f t="shared" si="1"/>
        <v>56.92</v>
      </c>
      <c r="G20" s="123"/>
      <c r="H20" s="6"/>
    </row>
    <row r="21" spans="1:8" s="15" customFormat="1" x14ac:dyDescent="0.25">
      <c r="A21" s="69" t="s">
        <v>172</v>
      </c>
      <c r="B21" s="70" t="s">
        <v>173</v>
      </c>
      <c r="C21" s="71" t="s">
        <v>15</v>
      </c>
      <c r="D21" s="72">
        <f>ROUND((0.6*0.4)+(2.2*1.1)+(1.6*1.1),0)</f>
        <v>4</v>
      </c>
      <c r="E21" s="73">
        <v>9.9</v>
      </c>
      <c r="F21" s="73">
        <f t="shared" si="1"/>
        <v>39.6</v>
      </c>
      <c r="G21" s="123"/>
      <c r="H21" s="6"/>
    </row>
    <row r="22" spans="1:8" s="15" customFormat="1" ht="28" x14ac:dyDescent="0.25">
      <c r="A22" s="69" t="s">
        <v>174</v>
      </c>
      <c r="B22" s="70" t="s">
        <v>175</v>
      </c>
      <c r="C22" s="71" t="s">
        <v>27</v>
      </c>
      <c r="D22" s="72">
        <v>25</v>
      </c>
      <c r="E22" s="73">
        <v>7</v>
      </c>
      <c r="F22" s="73">
        <f t="shared" si="1"/>
        <v>175</v>
      </c>
      <c r="G22" s="123"/>
      <c r="H22" s="6"/>
    </row>
    <row r="23" spans="1:8" s="15" customFormat="1" x14ac:dyDescent="0.25">
      <c r="A23" s="69" t="s">
        <v>176</v>
      </c>
      <c r="B23" s="70" t="s">
        <v>177</v>
      </c>
      <c r="C23" s="71" t="s">
        <v>27</v>
      </c>
      <c r="D23" s="72">
        <f>1+1+8</f>
        <v>10</v>
      </c>
      <c r="E23" s="73">
        <v>18.565505291169011</v>
      </c>
      <c r="F23" s="73">
        <f t="shared" ref="F23" si="2">D23*E23</f>
        <v>185.65505291169012</v>
      </c>
      <c r="G23" s="123"/>
      <c r="H23" s="6"/>
    </row>
    <row r="24" spans="1:8" s="15" customFormat="1" ht="12.5" x14ac:dyDescent="0.25">
      <c r="A24" s="27"/>
      <c r="B24" s="67"/>
      <c r="C24" s="28"/>
      <c r="D24" s="36"/>
      <c r="E24" s="37"/>
      <c r="F24" s="38"/>
      <c r="G24" s="123"/>
      <c r="H24" s="6"/>
    </row>
    <row r="25" spans="1:8" s="15" customFormat="1" ht="12.5" x14ac:dyDescent="0.25">
      <c r="A25" s="27"/>
      <c r="B25" s="67"/>
      <c r="C25" s="28"/>
      <c r="D25" s="36"/>
      <c r="E25" s="37"/>
      <c r="F25" s="38"/>
      <c r="G25" s="123"/>
      <c r="H25" s="6"/>
    </row>
    <row r="26" spans="1:8" s="15" customFormat="1" ht="12.5" x14ac:dyDescent="0.25">
      <c r="A26" s="128"/>
      <c r="B26" s="129"/>
      <c r="C26" s="129"/>
      <c r="D26" s="129"/>
      <c r="E26" s="129"/>
      <c r="F26" s="130"/>
      <c r="G26" s="123"/>
    </row>
    <row r="27" spans="1:8" s="15" customFormat="1" ht="13" x14ac:dyDescent="0.25">
      <c r="A27" s="20">
        <v>1.2</v>
      </c>
      <c r="B27" s="125" t="s">
        <v>24</v>
      </c>
      <c r="C27" s="126"/>
      <c r="D27" s="126"/>
      <c r="E27" s="126"/>
      <c r="F27" s="127"/>
      <c r="G27" s="123"/>
    </row>
    <row r="28" spans="1:8" s="15" customFormat="1" ht="12.5" x14ac:dyDescent="0.25">
      <c r="A28" s="29" t="s">
        <v>25</v>
      </c>
      <c r="B28" s="25" t="s">
        <v>178</v>
      </c>
      <c r="C28" s="10" t="s">
        <v>27</v>
      </c>
      <c r="D28" s="26">
        <v>1</v>
      </c>
      <c r="E28" s="9">
        <v>105.20452998329105</v>
      </c>
      <c r="F28" s="9">
        <f t="shared" ref="F28:F29" si="3">D28*E28</f>
        <v>105.20452998329105</v>
      </c>
      <c r="G28" s="123"/>
    </row>
    <row r="29" spans="1:8" s="15" customFormat="1" ht="35.15" customHeight="1" x14ac:dyDescent="0.25">
      <c r="A29" s="29" t="s">
        <v>179</v>
      </c>
      <c r="B29" s="25" t="s">
        <v>180</v>
      </c>
      <c r="C29" s="10" t="s">
        <v>27</v>
      </c>
      <c r="D29" s="26">
        <v>1</v>
      </c>
      <c r="E29" s="9">
        <v>105.20452998329105</v>
      </c>
      <c r="F29" s="9">
        <f t="shared" si="3"/>
        <v>105.20452998329105</v>
      </c>
      <c r="G29" s="123"/>
    </row>
    <row r="30" spans="1:8" s="15" customFormat="1" ht="27.65" customHeight="1" x14ac:dyDescent="0.25">
      <c r="A30" s="29"/>
      <c r="B30" s="131" t="s">
        <v>181</v>
      </c>
      <c r="C30" s="132"/>
      <c r="D30" s="132"/>
      <c r="E30" s="132"/>
      <c r="F30" s="133"/>
      <c r="G30" s="123"/>
    </row>
    <row r="31" spans="1:8" s="15" customFormat="1" ht="12.5" x14ac:dyDescent="0.25">
      <c r="A31" s="128"/>
      <c r="B31" s="129"/>
      <c r="C31" s="129"/>
      <c r="D31" s="129"/>
      <c r="E31" s="129"/>
      <c r="F31" s="130"/>
      <c r="G31" s="124"/>
    </row>
    <row r="32" spans="1:8" s="18" customFormat="1" ht="13" x14ac:dyDescent="0.25">
      <c r="A32" s="30">
        <v>2</v>
      </c>
      <c r="B32" s="159" t="s">
        <v>29</v>
      </c>
      <c r="C32" s="160"/>
      <c r="D32" s="160"/>
      <c r="E32" s="160"/>
      <c r="F32" s="161"/>
      <c r="G32" s="31">
        <f>ROUND(SUM(F35:F97),2)</f>
        <v>278816.03999999998</v>
      </c>
      <c r="H32" s="6"/>
    </row>
    <row r="33" spans="1:8" s="15" customFormat="1" ht="13" x14ac:dyDescent="0.25">
      <c r="A33" s="20">
        <v>2.1</v>
      </c>
      <c r="B33" s="125" t="s">
        <v>73</v>
      </c>
      <c r="C33" s="126"/>
      <c r="D33" s="126"/>
      <c r="E33" s="126"/>
      <c r="F33" s="127"/>
      <c r="G33" s="149"/>
      <c r="H33" s="6"/>
    </row>
    <row r="34" spans="1:8" s="15" customFormat="1" ht="13" x14ac:dyDescent="0.25">
      <c r="A34" s="20" t="s">
        <v>31</v>
      </c>
      <c r="B34" s="125" t="s">
        <v>182</v>
      </c>
      <c r="C34" s="126"/>
      <c r="D34" s="126"/>
      <c r="E34" s="126"/>
      <c r="F34" s="127"/>
      <c r="G34" s="150"/>
      <c r="H34" s="6"/>
    </row>
    <row r="35" spans="1:8" s="15" customFormat="1" ht="200" x14ac:dyDescent="0.25">
      <c r="A35" s="32" t="s">
        <v>33</v>
      </c>
      <c r="B35" s="25" t="s">
        <v>183</v>
      </c>
      <c r="C35" s="10" t="s">
        <v>15</v>
      </c>
      <c r="D35" s="26">
        <f>80.25*2</f>
        <v>160.5</v>
      </c>
      <c r="E35" s="9">
        <v>373</v>
      </c>
      <c r="F35" s="33">
        <f>E35*D35</f>
        <v>59866.5</v>
      </c>
      <c r="G35" s="150"/>
      <c r="H35" s="6"/>
    </row>
    <row r="36" spans="1:8" s="15" customFormat="1" ht="12.5" x14ac:dyDescent="0.25">
      <c r="A36" s="151"/>
      <c r="B36" s="152"/>
      <c r="C36" s="152"/>
      <c r="D36" s="152"/>
      <c r="E36" s="152"/>
      <c r="F36" s="153"/>
      <c r="G36" s="150"/>
      <c r="H36" s="6"/>
    </row>
    <row r="37" spans="1:8" s="15" customFormat="1" ht="13" x14ac:dyDescent="0.25">
      <c r="A37" s="20" t="s">
        <v>35</v>
      </c>
      <c r="B37" s="125" t="s">
        <v>184</v>
      </c>
      <c r="C37" s="126"/>
      <c r="D37" s="126"/>
      <c r="E37" s="126"/>
      <c r="F37" s="127"/>
      <c r="G37" s="150"/>
      <c r="H37" s="6"/>
    </row>
    <row r="38" spans="1:8" s="15" customFormat="1" ht="262.5" x14ac:dyDescent="0.25">
      <c r="A38" s="32" t="s">
        <v>37</v>
      </c>
      <c r="B38" s="25" t="s">
        <v>185</v>
      </c>
      <c r="C38" s="10" t="s">
        <v>15</v>
      </c>
      <c r="D38" s="26">
        <f>ROUND(4.8*1,0)</f>
        <v>5</v>
      </c>
      <c r="E38" s="9">
        <v>730.15</v>
      </c>
      <c r="F38" s="33">
        <f>E38*D38</f>
        <v>3650.75</v>
      </c>
      <c r="G38" s="150"/>
      <c r="H38" s="6"/>
    </row>
    <row r="39" spans="1:8" s="15" customFormat="1" ht="25" x14ac:dyDescent="0.25">
      <c r="A39" s="10" t="s">
        <v>186</v>
      </c>
      <c r="B39" s="25" t="s">
        <v>187</v>
      </c>
      <c r="C39" s="10" t="s">
        <v>27</v>
      </c>
      <c r="D39" s="26">
        <v>1</v>
      </c>
      <c r="E39" s="9">
        <v>136.77000000000001</v>
      </c>
      <c r="F39" s="9">
        <f>E39*D39</f>
        <v>136.77000000000001</v>
      </c>
      <c r="G39" s="150"/>
      <c r="H39" s="6"/>
    </row>
    <row r="40" spans="1:8" s="15" customFormat="1" ht="12.5" x14ac:dyDescent="0.25">
      <c r="A40" s="154"/>
      <c r="B40" s="155"/>
      <c r="C40" s="155"/>
      <c r="D40" s="155"/>
      <c r="E40" s="155"/>
      <c r="F40" s="156"/>
      <c r="G40" s="150"/>
      <c r="H40" s="6"/>
    </row>
    <row r="41" spans="1:8" s="15" customFormat="1" ht="13" x14ac:dyDescent="0.25">
      <c r="A41" s="20" t="s">
        <v>39</v>
      </c>
      <c r="B41" s="125" t="s">
        <v>188</v>
      </c>
      <c r="C41" s="126"/>
      <c r="D41" s="126"/>
      <c r="E41" s="126"/>
      <c r="F41" s="127"/>
      <c r="G41" s="150"/>
      <c r="H41" s="6"/>
    </row>
    <row r="42" spans="1:8" s="15" customFormat="1" ht="200" x14ac:dyDescent="0.25">
      <c r="A42" s="32" t="s">
        <v>41</v>
      </c>
      <c r="B42" s="25" t="s">
        <v>189</v>
      </c>
      <c r="C42" s="10" t="s">
        <v>15</v>
      </c>
      <c r="D42" s="26">
        <v>6.5</v>
      </c>
      <c r="E42" s="9">
        <v>352</v>
      </c>
      <c r="F42" s="33">
        <f>E42*D42</f>
        <v>2288</v>
      </c>
      <c r="G42" s="150"/>
      <c r="H42" s="6"/>
    </row>
    <row r="43" spans="1:8" s="15" customFormat="1" ht="25" x14ac:dyDescent="0.25">
      <c r="A43" s="10" t="s">
        <v>43</v>
      </c>
      <c r="B43" s="25" t="s">
        <v>190</v>
      </c>
      <c r="C43" s="10" t="s">
        <v>15</v>
      </c>
      <c r="D43" s="26">
        <f>ROUND((3*2.6)*2,0)</f>
        <v>16</v>
      </c>
      <c r="E43" s="9">
        <v>173.2780493842441</v>
      </c>
      <c r="F43" s="9">
        <f>E43*D43</f>
        <v>2772.4487901479056</v>
      </c>
      <c r="G43" s="150"/>
      <c r="H43" s="6"/>
    </row>
    <row r="44" spans="1:8" s="15" customFormat="1" ht="12.5" x14ac:dyDescent="0.25">
      <c r="A44" s="154"/>
      <c r="B44" s="155"/>
      <c r="C44" s="155"/>
      <c r="D44" s="155"/>
      <c r="E44" s="155"/>
      <c r="F44" s="156"/>
      <c r="G44" s="150"/>
      <c r="H44" s="6"/>
    </row>
    <row r="45" spans="1:8" s="15" customFormat="1" ht="13" x14ac:dyDescent="0.25">
      <c r="A45" s="20" t="s">
        <v>46</v>
      </c>
      <c r="B45" s="125" t="s">
        <v>40</v>
      </c>
      <c r="C45" s="126"/>
      <c r="D45" s="126"/>
      <c r="E45" s="126"/>
      <c r="F45" s="127"/>
      <c r="G45" s="150"/>
      <c r="H45" s="6"/>
    </row>
    <row r="46" spans="1:8" s="15" customFormat="1" ht="200" x14ac:dyDescent="0.25">
      <c r="A46" s="32" t="s">
        <v>48</v>
      </c>
      <c r="B46" s="25" t="s">
        <v>191</v>
      </c>
      <c r="C46" s="10" t="s">
        <v>15</v>
      </c>
      <c r="D46" s="26">
        <f>ROUND(77.3-3.4-3.4,0)</f>
        <v>71</v>
      </c>
      <c r="E46" s="9">
        <v>373</v>
      </c>
      <c r="F46" s="33">
        <f>E46*D46</f>
        <v>26483</v>
      </c>
      <c r="G46" s="150"/>
      <c r="H46" s="6"/>
    </row>
    <row r="47" spans="1:8" s="15" customFormat="1" ht="37.5" x14ac:dyDescent="0.25">
      <c r="A47" s="32" t="s">
        <v>192</v>
      </c>
      <c r="B47" s="25" t="s">
        <v>44</v>
      </c>
      <c r="C47" s="10" t="s">
        <v>45</v>
      </c>
      <c r="D47" s="26">
        <f>+(((3+3.5)*3)/2)*2</f>
        <v>19.5</v>
      </c>
      <c r="E47" s="33">
        <v>20.32</v>
      </c>
      <c r="F47" s="33">
        <f>E47*D47</f>
        <v>396.24</v>
      </c>
      <c r="G47" s="150"/>
      <c r="H47" s="6"/>
    </row>
    <row r="48" spans="1:8" s="15" customFormat="1" ht="12.5" x14ac:dyDescent="0.25">
      <c r="A48" s="151"/>
      <c r="B48" s="152"/>
      <c r="C48" s="152"/>
      <c r="D48" s="152"/>
      <c r="E48" s="152"/>
      <c r="F48" s="153"/>
      <c r="G48" s="150"/>
      <c r="H48" s="6"/>
    </row>
    <row r="49" spans="1:8" s="15" customFormat="1" ht="13" x14ac:dyDescent="0.25">
      <c r="A49" s="20" t="s">
        <v>193</v>
      </c>
      <c r="B49" s="125" t="s">
        <v>194</v>
      </c>
      <c r="C49" s="126"/>
      <c r="D49" s="126"/>
      <c r="E49" s="126"/>
      <c r="F49" s="127"/>
      <c r="G49" s="150"/>
      <c r="H49" s="6"/>
    </row>
    <row r="50" spans="1:8" s="15" customFormat="1" ht="262.5" x14ac:dyDescent="0.25">
      <c r="A50" s="29" t="s">
        <v>195</v>
      </c>
      <c r="B50" s="25" t="s">
        <v>185</v>
      </c>
      <c r="C50" s="10" t="s">
        <v>45</v>
      </c>
      <c r="D50" s="26">
        <v>3.4</v>
      </c>
      <c r="E50" s="9">
        <v>730.15</v>
      </c>
      <c r="F50" s="33">
        <f>E50*D50</f>
        <v>2482.5099999999998</v>
      </c>
      <c r="G50" s="150"/>
      <c r="H50" s="6"/>
    </row>
    <row r="51" spans="1:8" s="15" customFormat="1" ht="12.5" x14ac:dyDescent="0.25">
      <c r="A51" s="129"/>
      <c r="B51" s="129"/>
      <c r="C51" s="129"/>
      <c r="D51" s="129"/>
      <c r="E51" s="129"/>
      <c r="F51" s="130"/>
      <c r="G51" s="150"/>
      <c r="H51" s="6"/>
    </row>
    <row r="52" spans="1:8" s="15" customFormat="1" ht="13" x14ac:dyDescent="0.25">
      <c r="A52" s="20">
        <v>2.2000000000000002</v>
      </c>
      <c r="B52" s="125" t="s">
        <v>196</v>
      </c>
      <c r="C52" s="126"/>
      <c r="D52" s="126"/>
      <c r="E52" s="126"/>
      <c r="F52" s="127"/>
      <c r="G52" s="150"/>
      <c r="H52" s="6"/>
    </row>
    <row r="53" spans="1:8" s="15" customFormat="1" ht="13" x14ac:dyDescent="0.25">
      <c r="A53" s="20" t="s">
        <v>51</v>
      </c>
      <c r="B53" s="125" t="s">
        <v>197</v>
      </c>
      <c r="C53" s="126"/>
      <c r="D53" s="126"/>
      <c r="E53" s="126"/>
      <c r="F53" s="127"/>
      <c r="G53" s="150"/>
      <c r="H53" s="6"/>
    </row>
    <row r="54" spans="1:8" s="15" customFormat="1" ht="212.5" x14ac:dyDescent="0.25">
      <c r="A54" s="32" t="s">
        <v>53</v>
      </c>
      <c r="B54" s="25" t="s">
        <v>198</v>
      </c>
      <c r="C54" s="10" t="s">
        <v>15</v>
      </c>
      <c r="D54" s="26">
        <f>80.25*2</f>
        <v>160.5</v>
      </c>
      <c r="E54" s="9">
        <v>373</v>
      </c>
      <c r="F54" s="33">
        <f>E54*D54</f>
        <v>59866.5</v>
      </c>
      <c r="G54" s="150"/>
      <c r="H54" s="6"/>
    </row>
    <row r="55" spans="1:8" s="15" customFormat="1" ht="25" x14ac:dyDescent="0.25">
      <c r="A55" s="32" t="s">
        <v>199</v>
      </c>
      <c r="B55" s="25" t="s">
        <v>190</v>
      </c>
      <c r="C55" s="10" t="s">
        <v>15</v>
      </c>
      <c r="D55" s="26">
        <f>ROUND((3*2.6)*4,0)</f>
        <v>31</v>
      </c>
      <c r="E55" s="9">
        <v>173.2780493842441</v>
      </c>
      <c r="F55" s="9">
        <f>E55*D55</f>
        <v>5371.6195309115674</v>
      </c>
      <c r="G55" s="150"/>
      <c r="H55" s="6"/>
    </row>
    <row r="56" spans="1:8" s="15" customFormat="1" ht="37.5" x14ac:dyDescent="0.25">
      <c r="A56" s="32" t="s">
        <v>200</v>
      </c>
      <c r="B56" s="25" t="s">
        <v>201</v>
      </c>
      <c r="C56" s="10" t="s">
        <v>15</v>
      </c>
      <c r="D56" s="26">
        <f>ROUND((1.66+0.75)*4,0)</f>
        <v>10</v>
      </c>
      <c r="E56" s="9">
        <v>34.655609876848814</v>
      </c>
      <c r="F56" s="9">
        <f t="shared" ref="F56" si="4">E56*D56</f>
        <v>346.55609876848814</v>
      </c>
      <c r="G56" s="150"/>
      <c r="H56" s="6"/>
    </row>
    <row r="57" spans="1:8" s="15" customFormat="1" ht="12.5" x14ac:dyDescent="0.25">
      <c r="A57" s="32" t="s">
        <v>202</v>
      </c>
      <c r="B57" s="25" t="s">
        <v>203</v>
      </c>
      <c r="C57" s="10" t="s">
        <v>15</v>
      </c>
      <c r="D57" s="34">
        <f>ROUND((1.66+0.75)*4,0)</f>
        <v>10</v>
      </c>
      <c r="E57" s="9">
        <v>55.06</v>
      </c>
      <c r="F57" s="9">
        <f>E57*D57</f>
        <v>550.6</v>
      </c>
      <c r="G57" s="150"/>
      <c r="H57" s="6"/>
    </row>
    <row r="58" spans="1:8" s="15" customFormat="1" ht="12.5" x14ac:dyDescent="0.25">
      <c r="A58" s="151"/>
      <c r="B58" s="152"/>
      <c r="C58" s="152"/>
      <c r="D58" s="152"/>
      <c r="E58" s="152"/>
      <c r="F58" s="153"/>
      <c r="G58" s="150"/>
      <c r="H58" s="6"/>
    </row>
    <row r="59" spans="1:8" s="15" customFormat="1" ht="13" x14ac:dyDescent="0.25">
      <c r="A59" s="20" t="s">
        <v>55</v>
      </c>
      <c r="B59" s="125" t="s">
        <v>204</v>
      </c>
      <c r="C59" s="126"/>
      <c r="D59" s="126"/>
      <c r="E59" s="126"/>
      <c r="F59" s="127"/>
      <c r="G59" s="150"/>
      <c r="H59" s="6"/>
    </row>
    <row r="60" spans="1:8" s="15" customFormat="1" ht="262.5" x14ac:dyDescent="0.25">
      <c r="A60" s="32" t="s">
        <v>57</v>
      </c>
      <c r="B60" s="25" t="s">
        <v>205</v>
      </c>
      <c r="C60" s="10" t="s">
        <v>15</v>
      </c>
      <c r="D60" s="26">
        <f>ROUND(4.8*2,0)</f>
        <v>10</v>
      </c>
      <c r="E60" s="9">
        <v>730.15</v>
      </c>
      <c r="F60" s="33">
        <f>E60*D60</f>
        <v>7301.5</v>
      </c>
      <c r="G60" s="150"/>
      <c r="H60" s="6"/>
    </row>
    <row r="61" spans="1:8" s="15" customFormat="1" ht="25" x14ac:dyDescent="0.25">
      <c r="A61" s="32" t="s">
        <v>206</v>
      </c>
      <c r="B61" s="25" t="s">
        <v>187</v>
      </c>
      <c r="C61" s="10" t="s">
        <v>27</v>
      </c>
      <c r="D61" s="26">
        <v>2</v>
      </c>
      <c r="E61" s="9">
        <v>136.77000000000001</v>
      </c>
      <c r="F61" s="9">
        <f>E61*D61</f>
        <v>273.54000000000002</v>
      </c>
      <c r="G61" s="150"/>
      <c r="H61" s="6"/>
    </row>
    <row r="62" spans="1:8" s="15" customFormat="1" ht="12.5" x14ac:dyDescent="0.25">
      <c r="A62" s="151"/>
      <c r="B62" s="152"/>
      <c r="C62" s="152"/>
      <c r="D62" s="152"/>
      <c r="E62" s="152"/>
      <c r="F62" s="153"/>
      <c r="G62" s="150"/>
      <c r="H62" s="6"/>
    </row>
    <row r="63" spans="1:8" s="15" customFormat="1" ht="13" x14ac:dyDescent="0.25">
      <c r="A63" s="20" t="s">
        <v>207</v>
      </c>
      <c r="B63" s="125" t="s">
        <v>208</v>
      </c>
      <c r="C63" s="126"/>
      <c r="D63" s="126"/>
      <c r="E63" s="126"/>
      <c r="F63" s="127"/>
      <c r="G63" s="150"/>
      <c r="H63" s="6"/>
    </row>
    <row r="64" spans="1:8" s="15" customFormat="1" ht="200" x14ac:dyDescent="0.25">
      <c r="A64" s="32" t="s">
        <v>209</v>
      </c>
      <c r="B64" s="25" t="s">
        <v>210</v>
      </c>
      <c r="C64" s="10" t="s">
        <v>15</v>
      </c>
      <c r="D64" s="26">
        <f>6.5*2</f>
        <v>13</v>
      </c>
      <c r="E64" s="9">
        <v>352</v>
      </c>
      <c r="F64" s="33">
        <f>E64*D64</f>
        <v>4576</v>
      </c>
      <c r="G64" s="150"/>
      <c r="H64" s="6"/>
    </row>
    <row r="65" spans="1:8" s="15" customFormat="1" ht="25" x14ac:dyDescent="0.25">
      <c r="A65" s="10" t="s">
        <v>211</v>
      </c>
      <c r="B65" s="25" t="s">
        <v>190</v>
      </c>
      <c r="C65" s="10" t="s">
        <v>15</v>
      </c>
      <c r="D65" s="26">
        <f>ROUND((3*2.6)*4,0)</f>
        <v>31</v>
      </c>
      <c r="E65" s="9">
        <v>173.2780493842441</v>
      </c>
      <c r="F65" s="9">
        <f>E65*D65</f>
        <v>5371.6195309115674</v>
      </c>
      <c r="G65" s="150"/>
      <c r="H65" s="6"/>
    </row>
    <row r="66" spans="1:8" s="15" customFormat="1" ht="12.5" x14ac:dyDescent="0.25">
      <c r="A66" s="157"/>
      <c r="B66" s="157"/>
      <c r="C66" s="157"/>
      <c r="D66" s="157"/>
      <c r="E66" s="157"/>
      <c r="F66" s="158"/>
      <c r="G66" s="150"/>
      <c r="H66" s="6"/>
    </row>
    <row r="67" spans="1:8" s="15" customFormat="1" ht="13" x14ac:dyDescent="0.25">
      <c r="A67" s="20">
        <v>2.2999999999999998</v>
      </c>
      <c r="B67" s="125" t="s">
        <v>59</v>
      </c>
      <c r="C67" s="126"/>
      <c r="D67" s="126"/>
      <c r="E67" s="126"/>
      <c r="F67" s="127"/>
      <c r="G67" s="150"/>
      <c r="H67" s="6"/>
    </row>
    <row r="68" spans="1:8" s="15" customFormat="1" ht="13" x14ac:dyDescent="0.25">
      <c r="A68" s="20" t="s">
        <v>60</v>
      </c>
      <c r="B68" s="125" t="s">
        <v>212</v>
      </c>
      <c r="C68" s="126"/>
      <c r="D68" s="126"/>
      <c r="E68" s="126"/>
      <c r="F68" s="127"/>
      <c r="G68" s="150"/>
      <c r="H68" s="6"/>
    </row>
    <row r="69" spans="1:8" s="15" customFormat="1" ht="262.5" x14ac:dyDescent="0.25">
      <c r="A69" s="10" t="s">
        <v>62</v>
      </c>
      <c r="B69" s="25" t="s">
        <v>213</v>
      </c>
      <c r="C69" s="10" t="s">
        <v>15</v>
      </c>
      <c r="D69" s="26">
        <v>32</v>
      </c>
      <c r="E69" s="9">
        <f>352*1.4</f>
        <v>492.79999999999995</v>
      </c>
      <c r="F69" s="9">
        <f>E69*D69</f>
        <v>15769.599999999999</v>
      </c>
      <c r="G69" s="150"/>
      <c r="H69" s="6"/>
    </row>
    <row r="70" spans="1:8" s="15" customFormat="1" ht="12.5" x14ac:dyDescent="0.25">
      <c r="A70" s="10"/>
      <c r="B70" s="35"/>
      <c r="C70" s="28"/>
      <c r="D70" s="36"/>
      <c r="E70" s="37"/>
      <c r="F70" s="38"/>
      <c r="G70" s="150"/>
      <c r="H70" s="6"/>
    </row>
    <row r="71" spans="1:8" s="15" customFormat="1" ht="13" x14ac:dyDescent="0.25">
      <c r="A71" s="20" t="s">
        <v>214</v>
      </c>
      <c r="B71" s="125" t="s">
        <v>215</v>
      </c>
      <c r="C71" s="126"/>
      <c r="D71" s="126"/>
      <c r="E71" s="126"/>
      <c r="F71" s="127"/>
      <c r="G71" s="150"/>
      <c r="H71" s="6"/>
    </row>
    <row r="72" spans="1:8" s="15" customFormat="1" ht="62.5" x14ac:dyDescent="0.25">
      <c r="A72" s="39" t="s">
        <v>216</v>
      </c>
      <c r="B72" s="40" t="s">
        <v>217</v>
      </c>
      <c r="C72" s="41" t="s">
        <v>23</v>
      </c>
      <c r="D72" s="42">
        <f>3.5*6</f>
        <v>21</v>
      </c>
      <c r="E72" s="43">
        <v>95.050803015404796</v>
      </c>
      <c r="F72" s="43">
        <f t="shared" ref="F72:F73" si="5">D72*E72</f>
        <v>1996.0668633235007</v>
      </c>
      <c r="G72" s="150"/>
      <c r="H72" s="6"/>
    </row>
    <row r="73" spans="1:8" s="15" customFormat="1" ht="25" x14ac:dyDescent="0.25">
      <c r="A73" s="39" t="s">
        <v>218</v>
      </c>
      <c r="B73" s="44" t="s">
        <v>219</v>
      </c>
      <c r="C73" s="41" t="s">
        <v>23</v>
      </c>
      <c r="D73" s="42">
        <f>ROUND(3.8*6,0)</f>
        <v>23</v>
      </c>
      <c r="E73" s="43">
        <v>113.40544083906916</v>
      </c>
      <c r="F73" s="43">
        <f t="shared" si="5"/>
        <v>2608.3251392985908</v>
      </c>
      <c r="G73" s="150"/>
      <c r="H73" s="6"/>
    </row>
    <row r="74" spans="1:8" s="15" customFormat="1" ht="50" x14ac:dyDescent="0.25">
      <c r="A74" s="39" t="s">
        <v>220</v>
      </c>
      <c r="B74" s="44" t="s">
        <v>221</v>
      </c>
      <c r="C74" s="41" t="s">
        <v>23</v>
      </c>
      <c r="D74" s="42">
        <f>ROUND(8.6*3,0)</f>
        <v>26</v>
      </c>
      <c r="E74" s="43">
        <v>25.565388397246807</v>
      </c>
      <c r="F74" s="43">
        <f>+E74*D74</f>
        <v>664.70009832841697</v>
      </c>
      <c r="G74" s="150"/>
      <c r="H74" s="6"/>
    </row>
    <row r="75" spans="1:8" s="15" customFormat="1" ht="50" x14ac:dyDescent="0.25">
      <c r="A75" s="39" t="s">
        <v>222</v>
      </c>
      <c r="B75" s="25" t="s">
        <v>223</v>
      </c>
      <c r="C75" s="10" t="s">
        <v>23</v>
      </c>
      <c r="D75" s="26">
        <v>34</v>
      </c>
      <c r="E75" s="9">
        <v>23.516306702147411</v>
      </c>
      <c r="F75" s="9">
        <f>E75*D75</f>
        <v>799.55442787301195</v>
      </c>
      <c r="G75" s="150"/>
      <c r="H75" s="6"/>
    </row>
    <row r="76" spans="1:8" s="15" customFormat="1" ht="37.5" x14ac:dyDescent="0.25">
      <c r="A76" s="39" t="s">
        <v>224</v>
      </c>
      <c r="B76" s="25" t="s">
        <v>201</v>
      </c>
      <c r="C76" s="10" t="s">
        <v>15</v>
      </c>
      <c r="D76" s="26">
        <v>3.5</v>
      </c>
      <c r="E76" s="9">
        <v>34.655609876848814</v>
      </c>
      <c r="F76" s="9">
        <f t="shared" ref="F76" si="6">E76*D76</f>
        <v>121.29463456897085</v>
      </c>
      <c r="G76" s="150"/>
      <c r="H76" s="6"/>
    </row>
    <row r="77" spans="1:8" s="15" customFormat="1" ht="12.5" x14ac:dyDescent="0.25">
      <c r="A77" s="39" t="s">
        <v>225</v>
      </c>
      <c r="B77" s="25" t="s">
        <v>203</v>
      </c>
      <c r="C77" s="10" t="s">
        <v>15</v>
      </c>
      <c r="D77" s="34">
        <v>3.5</v>
      </c>
      <c r="E77" s="9">
        <v>55.06</v>
      </c>
      <c r="F77" s="9">
        <f>E77*D77</f>
        <v>192.71</v>
      </c>
      <c r="G77" s="150"/>
      <c r="H77" s="6"/>
    </row>
    <row r="78" spans="1:8" s="15" customFormat="1" ht="25" x14ac:dyDescent="0.25">
      <c r="A78" s="39" t="s">
        <v>226</v>
      </c>
      <c r="B78" s="25" t="s">
        <v>227</v>
      </c>
      <c r="C78" s="10" t="s">
        <v>15</v>
      </c>
      <c r="D78" s="26">
        <v>34</v>
      </c>
      <c r="E78" s="45">
        <v>44.575549000327761</v>
      </c>
      <c r="F78" s="9">
        <f t="shared" ref="F78:F82" si="7">E78*D78</f>
        <v>1515.5686660111439</v>
      </c>
      <c r="G78" s="150"/>
      <c r="H78" s="6"/>
    </row>
    <row r="79" spans="1:8" s="15" customFormat="1" ht="25" x14ac:dyDescent="0.25">
      <c r="A79" s="39" t="s">
        <v>228</v>
      </c>
      <c r="B79" s="25" t="s">
        <v>229</v>
      </c>
      <c r="C79" s="10" t="s">
        <v>15</v>
      </c>
      <c r="D79" s="26">
        <f>8*3</f>
        <v>24</v>
      </c>
      <c r="E79" s="9">
        <v>11.139303174701407</v>
      </c>
      <c r="F79" s="9">
        <f t="shared" si="7"/>
        <v>267.34327619283374</v>
      </c>
      <c r="G79" s="150"/>
      <c r="H79" s="6"/>
    </row>
    <row r="80" spans="1:8" s="15" customFormat="1" ht="25" x14ac:dyDescent="0.25">
      <c r="A80" s="39" t="s">
        <v>230</v>
      </c>
      <c r="B80" s="25" t="s">
        <v>231</v>
      </c>
      <c r="C80" s="10" t="s">
        <v>15</v>
      </c>
      <c r="D80" s="26">
        <f>8*3</f>
        <v>24</v>
      </c>
      <c r="E80" s="45">
        <v>4.9508014109784035</v>
      </c>
      <c r="F80" s="9">
        <f t="shared" si="7"/>
        <v>118.81923386348168</v>
      </c>
      <c r="G80" s="150"/>
      <c r="H80" s="6"/>
    </row>
    <row r="81" spans="1:8" s="15" customFormat="1" ht="37.5" x14ac:dyDescent="0.25">
      <c r="A81" s="39" t="s">
        <v>232</v>
      </c>
      <c r="B81" s="25" t="s">
        <v>233</v>
      </c>
      <c r="C81" s="10" t="s">
        <v>15</v>
      </c>
      <c r="D81" s="26">
        <f>8*3</f>
        <v>24</v>
      </c>
      <c r="E81" s="45">
        <v>6.5552277941658481</v>
      </c>
      <c r="F81" s="9">
        <f t="shared" si="7"/>
        <v>157.32546705998035</v>
      </c>
      <c r="G81" s="150"/>
      <c r="H81" s="6"/>
    </row>
    <row r="82" spans="1:8" s="15" customFormat="1" ht="75" x14ac:dyDescent="0.25">
      <c r="A82" s="39" t="s">
        <v>234</v>
      </c>
      <c r="B82" s="44" t="s">
        <v>235</v>
      </c>
      <c r="C82" s="41" t="s">
        <v>110</v>
      </c>
      <c r="D82" s="42">
        <v>1</v>
      </c>
      <c r="E82" s="45">
        <v>935.08261649854569</v>
      </c>
      <c r="F82" s="9">
        <f t="shared" si="7"/>
        <v>935.08261649854569</v>
      </c>
      <c r="G82" s="150"/>
      <c r="H82" s="6"/>
    </row>
    <row r="83" spans="1:8" s="15" customFormat="1" ht="12.5" x14ac:dyDescent="0.25">
      <c r="A83" s="32"/>
      <c r="B83" s="35"/>
      <c r="C83" s="28"/>
      <c r="D83" s="36"/>
      <c r="E83" s="46"/>
      <c r="F83" s="47"/>
      <c r="G83" s="150"/>
      <c r="H83" s="6"/>
    </row>
    <row r="84" spans="1:8" s="15" customFormat="1" ht="13" x14ac:dyDescent="0.25">
      <c r="A84" s="20">
        <v>2.4</v>
      </c>
      <c r="B84" s="125" t="s">
        <v>236</v>
      </c>
      <c r="C84" s="126"/>
      <c r="D84" s="126"/>
      <c r="E84" s="126"/>
      <c r="F84" s="127"/>
      <c r="G84" s="150"/>
      <c r="H84" s="6"/>
    </row>
    <row r="85" spans="1:8" s="15" customFormat="1" ht="13" x14ac:dyDescent="0.25">
      <c r="A85" s="20" t="s">
        <v>66</v>
      </c>
      <c r="B85" s="125" t="s">
        <v>237</v>
      </c>
      <c r="C85" s="126"/>
      <c r="D85" s="126"/>
      <c r="E85" s="126"/>
      <c r="F85" s="127"/>
      <c r="G85" s="150"/>
      <c r="H85" s="6"/>
    </row>
    <row r="86" spans="1:8" s="15" customFormat="1" ht="212.5" x14ac:dyDescent="0.25">
      <c r="A86" s="32" t="s">
        <v>68</v>
      </c>
      <c r="B86" s="25" t="s">
        <v>238</v>
      </c>
      <c r="C86" s="10" t="s">
        <v>15</v>
      </c>
      <c r="D86" s="26">
        <f>80.25*2</f>
        <v>160.5</v>
      </c>
      <c r="E86" s="9">
        <v>373</v>
      </c>
      <c r="F86" s="33">
        <f>E86*D86</f>
        <v>59866.5</v>
      </c>
      <c r="G86" s="150"/>
      <c r="H86" s="6"/>
    </row>
    <row r="87" spans="1:8" s="15" customFormat="1" ht="25" x14ac:dyDescent="0.25">
      <c r="A87" s="32" t="s">
        <v>239</v>
      </c>
      <c r="B87" s="25" t="s">
        <v>190</v>
      </c>
      <c r="C87" s="10" t="s">
        <v>15</v>
      </c>
      <c r="D87" s="26">
        <f>ROUND((3*2.6)*2,0)</f>
        <v>16</v>
      </c>
      <c r="E87" s="9">
        <v>173.2780493842441</v>
      </c>
      <c r="F87" s="9">
        <f>E87*D87</f>
        <v>2772.4487901479056</v>
      </c>
      <c r="G87" s="150"/>
      <c r="H87" s="6"/>
    </row>
    <row r="88" spans="1:8" s="15" customFormat="1" ht="37.5" x14ac:dyDescent="0.25">
      <c r="A88" s="32" t="s">
        <v>240</v>
      </c>
      <c r="B88" s="25" t="s">
        <v>201</v>
      </c>
      <c r="C88" s="10" t="s">
        <v>15</v>
      </c>
      <c r="D88" s="26">
        <f>ROUND((1.66+0.75)*2,0)</f>
        <v>5</v>
      </c>
      <c r="E88" s="9">
        <v>34.655609876848814</v>
      </c>
      <c r="F88" s="9">
        <f t="shared" ref="F88" si="8">E88*D88</f>
        <v>173.27804938424407</v>
      </c>
      <c r="G88" s="150"/>
      <c r="H88" s="6"/>
    </row>
    <row r="89" spans="1:8" s="15" customFormat="1" ht="12.5" x14ac:dyDescent="0.25">
      <c r="A89" s="32" t="s">
        <v>241</v>
      </c>
      <c r="B89" s="25" t="s">
        <v>203</v>
      </c>
      <c r="C89" s="10" t="s">
        <v>15</v>
      </c>
      <c r="D89" s="34">
        <f>ROUND((1.66+0.75)*2,0)</f>
        <v>5</v>
      </c>
      <c r="E89" s="9">
        <v>55.06</v>
      </c>
      <c r="F89" s="9">
        <f>E89*D89</f>
        <v>275.3</v>
      </c>
      <c r="G89" s="150"/>
      <c r="H89" s="6"/>
    </row>
    <row r="90" spans="1:8" s="15" customFormat="1" ht="12.5" x14ac:dyDescent="0.25">
      <c r="A90" s="157"/>
      <c r="B90" s="157"/>
      <c r="C90" s="157"/>
      <c r="D90" s="157"/>
      <c r="E90" s="157"/>
      <c r="F90" s="158"/>
      <c r="G90" s="150"/>
      <c r="H90" s="6"/>
    </row>
    <row r="91" spans="1:8" s="15" customFormat="1" ht="13" x14ac:dyDescent="0.25">
      <c r="A91" s="20" t="s">
        <v>69</v>
      </c>
      <c r="B91" s="125" t="s">
        <v>242</v>
      </c>
      <c r="C91" s="126"/>
      <c r="D91" s="126"/>
      <c r="E91" s="126"/>
      <c r="F91" s="127"/>
      <c r="G91" s="150"/>
      <c r="H91" s="6"/>
    </row>
    <row r="92" spans="1:8" s="15" customFormat="1" ht="262.5" x14ac:dyDescent="0.25">
      <c r="A92" s="32" t="s">
        <v>71</v>
      </c>
      <c r="B92" s="25" t="s">
        <v>185</v>
      </c>
      <c r="C92" s="10" t="s">
        <v>15</v>
      </c>
      <c r="D92" s="26">
        <f>ROUND(4.8*1,0)</f>
        <v>5</v>
      </c>
      <c r="E92" s="9">
        <v>730.15</v>
      </c>
      <c r="F92" s="33">
        <f>E92*D92</f>
        <v>3650.75</v>
      </c>
      <c r="G92" s="150"/>
      <c r="H92" s="6"/>
    </row>
    <row r="93" spans="1:8" s="15" customFormat="1" ht="25" x14ac:dyDescent="0.25">
      <c r="A93" s="32" t="s">
        <v>243</v>
      </c>
      <c r="B93" s="25" t="s">
        <v>187</v>
      </c>
      <c r="C93" s="10" t="s">
        <v>27</v>
      </c>
      <c r="D93" s="26">
        <v>1</v>
      </c>
      <c r="E93" s="9">
        <v>136.77000000000001</v>
      </c>
      <c r="F93" s="9">
        <f>E93*D93</f>
        <v>136.77000000000001</v>
      </c>
      <c r="G93" s="150"/>
      <c r="H93" s="6"/>
    </row>
    <row r="94" spans="1:8" s="15" customFormat="1" ht="12.5" x14ac:dyDescent="0.25">
      <c r="A94" s="48"/>
      <c r="B94" s="35"/>
      <c r="C94" s="28"/>
      <c r="D94" s="36"/>
      <c r="E94" s="37"/>
      <c r="F94" s="47"/>
      <c r="G94" s="150"/>
      <c r="H94" s="6"/>
    </row>
    <row r="95" spans="1:8" s="15" customFormat="1" ht="13" x14ac:dyDescent="0.25">
      <c r="A95" s="20" t="s">
        <v>244</v>
      </c>
      <c r="B95" s="125" t="s">
        <v>245</v>
      </c>
      <c r="C95" s="126"/>
      <c r="D95" s="126"/>
      <c r="E95" s="126"/>
      <c r="F95" s="127"/>
      <c r="G95" s="150"/>
      <c r="H95" s="6"/>
    </row>
    <row r="96" spans="1:8" s="15" customFormat="1" ht="200" x14ac:dyDescent="0.25">
      <c r="A96" s="32" t="s">
        <v>246</v>
      </c>
      <c r="B96" s="25" t="s">
        <v>189</v>
      </c>
      <c r="C96" s="10" t="s">
        <v>15</v>
      </c>
      <c r="D96" s="26">
        <v>6.5</v>
      </c>
      <c r="E96" s="9">
        <v>352</v>
      </c>
      <c r="F96" s="33">
        <f>E96*D96</f>
        <v>2288</v>
      </c>
      <c r="G96" s="150"/>
      <c r="H96" s="6"/>
    </row>
    <row r="97" spans="1:8" s="15" customFormat="1" ht="25" x14ac:dyDescent="0.25">
      <c r="A97" s="32" t="s">
        <v>247</v>
      </c>
      <c r="B97" s="25" t="s">
        <v>190</v>
      </c>
      <c r="C97" s="10" t="s">
        <v>15</v>
      </c>
      <c r="D97" s="26">
        <f>ROUND((3*2.6)*2,0)</f>
        <v>16</v>
      </c>
      <c r="E97" s="9">
        <v>173.2780493842441</v>
      </c>
      <c r="F97" s="9">
        <f>E97*D97</f>
        <v>2772.4487901479056</v>
      </c>
      <c r="G97" s="150"/>
      <c r="H97" s="6"/>
    </row>
    <row r="98" spans="1:8" s="15" customFormat="1" ht="14.4" customHeight="1" x14ac:dyDescent="0.25">
      <c r="A98" s="49"/>
      <c r="B98" s="170"/>
      <c r="C98" s="171"/>
      <c r="D98" s="171"/>
      <c r="E98" s="171"/>
      <c r="F98" s="172"/>
      <c r="G98" s="150"/>
      <c r="H98" s="6"/>
    </row>
    <row r="99" spans="1:8" s="15" customFormat="1" ht="14.4" customHeight="1" x14ac:dyDescent="0.25">
      <c r="A99" s="50">
        <v>3</v>
      </c>
      <c r="B99" s="159" t="s">
        <v>72</v>
      </c>
      <c r="C99" s="160"/>
      <c r="D99" s="160"/>
      <c r="E99" s="160"/>
      <c r="F99" s="161"/>
      <c r="G99" s="31">
        <f>ROUND(SUM(F102:F113),2)</f>
        <v>26383.5</v>
      </c>
      <c r="H99" s="6"/>
    </row>
    <row r="100" spans="1:8" s="15" customFormat="1" ht="14.4" customHeight="1" x14ac:dyDescent="0.25">
      <c r="A100" s="20">
        <v>3.1</v>
      </c>
      <c r="B100" s="125" t="s">
        <v>73</v>
      </c>
      <c r="C100" s="126"/>
      <c r="D100" s="126"/>
      <c r="E100" s="126"/>
      <c r="F100" s="127"/>
      <c r="G100" s="162"/>
      <c r="H100" s="6"/>
    </row>
    <row r="101" spans="1:8" s="15" customFormat="1" ht="14.4" customHeight="1" x14ac:dyDescent="0.25">
      <c r="A101" s="20" t="s">
        <v>74</v>
      </c>
      <c r="B101" s="125" t="s">
        <v>75</v>
      </c>
      <c r="C101" s="126"/>
      <c r="D101" s="126"/>
      <c r="E101" s="126"/>
      <c r="F101" s="127"/>
      <c r="G101" s="163"/>
      <c r="H101" s="6"/>
    </row>
    <row r="102" spans="1:8" s="15" customFormat="1" ht="287.5" x14ac:dyDescent="0.25">
      <c r="A102" s="51" t="s">
        <v>76</v>
      </c>
      <c r="B102" s="25" t="s">
        <v>248</v>
      </c>
      <c r="C102" s="10" t="s">
        <v>15</v>
      </c>
      <c r="D102" s="26">
        <f>ROUND(4.8*1,0)</f>
        <v>5</v>
      </c>
      <c r="E102" s="9">
        <v>1127.5</v>
      </c>
      <c r="F102" s="9">
        <f>E102*D102</f>
        <v>5637.5</v>
      </c>
      <c r="G102" s="163"/>
      <c r="H102" s="6"/>
    </row>
    <row r="103" spans="1:8" s="15" customFormat="1" ht="13" x14ac:dyDescent="0.25">
      <c r="A103" s="164"/>
      <c r="B103" s="164"/>
      <c r="C103" s="164"/>
      <c r="D103" s="164"/>
      <c r="E103" s="164"/>
      <c r="F103" s="165"/>
      <c r="G103" s="163"/>
      <c r="H103" s="6"/>
    </row>
    <row r="104" spans="1:8" s="15" customFormat="1" ht="13" x14ac:dyDescent="0.25">
      <c r="A104" s="20" t="s">
        <v>78</v>
      </c>
      <c r="B104" s="125" t="s">
        <v>249</v>
      </c>
      <c r="C104" s="126"/>
      <c r="D104" s="126"/>
      <c r="E104" s="126"/>
      <c r="F104" s="127"/>
      <c r="G104" s="163"/>
    </row>
    <row r="105" spans="1:8" s="15" customFormat="1" ht="287.5" x14ac:dyDescent="0.25">
      <c r="A105" s="51" t="s">
        <v>80</v>
      </c>
      <c r="B105" s="25" t="s">
        <v>250</v>
      </c>
      <c r="C105" s="10" t="s">
        <v>15</v>
      </c>
      <c r="D105" s="26">
        <v>3.4</v>
      </c>
      <c r="E105" s="9">
        <v>1127.5</v>
      </c>
      <c r="F105" s="9">
        <f>E105*D105</f>
        <v>3833.5</v>
      </c>
      <c r="G105" s="163"/>
    </row>
    <row r="106" spans="1:8" s="15" customFormat="1" ht="13" x14ac:dyDescent="0.25">
      <c r="A106" s="164"/>
      <c r="B106" s="164"/>
      <c r="C106" s="164"/>
      <c r="D106" s="164"/>
      <c r="E106" s="164"/>
      <c r="F106" s="165"/>
      <c r="G106" s="163"/>
    </row>
    <row r="107" spans="1:8" s="15" customFormat="1" ht="14.4" customHeight="1" x14ac:dyDescent="0.25">
      <c r="A107" s="20">
        <v>3.2</v>
      </c>
      <c r="B107" s="125" t="s">
        <v>196</v>
      </c>
      <c r="C107" s="126"/>
      <c r="D107" s="126"/>
      <c r="E107" s="126"/>
      <c r="F107" s="127"/>
      <c r="G107" s="163"/>
    </row>
    <row r="108" spans="1:8" s="15" customFormat="1" ht="14.4" customHeight="1" x14ac:dyDescent="0.25">
      <c r="A108" s="20" t="s">
        <v>81</v>
      </c>
      <c r="B108" s="125" t="s">
        <v>251</v>
      </c>
      <c r="C108" s="126"/>
      <c r="D108" s="126"/>
      <c r="E108" s="126"/>
      <c r="F108" s="127"/>
      <c r="G108" s="163"/>
    </row>
    <row r="109" spans="1:8" s="15" customFormat="1" ht="287.5" x14ac:dyDescent="0.25">
      <c r="A109" s="51" t="s">
        <v>83</v>
      </c>
      <c r="B109" s="25" t="s">
        <v>252</v>
      </c>
      <c r="C109" s="10" t="s">
        <v>15</v>
      </c>
      <c r="D109" s="26">
        <f>ROUND(4.8*2,0)</f>
        <v>10</v>
      </c>
      <c r="E109" s="9">
        <v>1127.5</v>
      </c>
      <c r="F109" s="33">
        <f>E109*D109</f>
        <v>11275</v>
      </c>
      <c r="G109" s="163"/>
    </row>
    <row r="110" spans="1:8" s="15" customFormat="1" ht="13" x14ac:dyDescent="0.25">
      <c r="A110" s="169"/>
      <c r="B110" s="164"/>
      <c r="C110" s="164"/>
      <c r="D110" s="164"/>
      <c r="E110" s="164"/>
      <c r="F110" s="165"/>
      <c r="G110" s="163"/>
    </row>
    <row r="111" spans="1:8" s="15" customFormat="1" ht="13" x14ac:dyDescent="0.25">
      <c r="A111" s="20">
        <v>3.3</v>
      </c>
      <c r="B111" s="125" t="s">
        <v>253</v>
      </c>
      <c r="C111" s="126"/>
      <c r="D111" s="126"/>
      <c r="E111" s="126"/>
      <c r="F111" s="127"/>
      <c r="G111" s="163"/>
    </row>
    <row r="112" spans="1:8" s="15" customFormat="1" ht="13" x14ac:dyDescent="0.25">
      <c r="A112" s="20" t="s">
        <v>86</v>
      </c>
      <c r="B112" s="125" t="s">
        <v>254</v>
      </c>
      <c r="C112" s="126"/>
      <c r="D112" s="126"/>
      <c r="E112" s="126"/>
      <c r="F112" s="127"/>
      <c r="G112" s="163"/>
    </row>
    <row r="113" spans="1:8" s="15" customFormat="1" ht="287.5" x14ac:dyDescent="0.25">
      <c r="A113" s="51" t="s">
        <v>88</v>
      </c>
      <c r="B113" s="25" t="s">
        <v>252</v>
      </c>
      <c r="C113" s="10" t="s">
        <v>15</v>
      </c>
      <c r="D113" s="26">
        <f>ROUND(4.8*1,0)</f>
        <v>5</v>
      </c>
      <c r="E113" s="9">
        <v>1127.5</v>
      </c>
      <c r="F113" s="33">
        <f>E113*D113</f>
        <v>5637.5</v>
      </c>
      <c r="G113" s="163"/>
    </row>
    <row r="114" spans="1:8" s="15" customFormat="1" ht="14.4" customHeight="1" thickBot="1" x14ac:dyDescent="0.3">
      <c r="A114" s="166"/>
      <c r="B114" s="167"/>
      <c r="C114" s="167"/>
      <c r="D114" s="167"/>
      <c r="E114" s="167"/>
      <c r="F114" s="168"/>
      <c r="G114" s="163"/>
    </row>
    <row r="115" spans="1:8" s="18" customFormat="1" ht="13.5" thickTop="1" x14ac:dyDescent="0.25">
      <c r="A115" s="50">
        <v>4</v>
      </c>
      <c r="B115" s="182" t="s">
        <v>89</v>
      </c>
      <c r="C115" s="183"/>
      <c r="D115" s="183"/>
      <c r="E115" s="183"/>
      <c r="F115" s="184"/>
      <c r="G115" s="31">
        <f>ROUND(SUM(F117:F193),2)</f>
        <v>222715.56</v>
      </c>
      <c r="H115" s="6"/>
    </row>
    <row r="116" spans="1:8" s="18" customFormat="1" ht="13" x14ac:dyDescent="0.25">
      <c r="A116" s="20">
        <v>4.0999999999999996</v>
      </c>
      <c r="B116" s="125" t="s">
        <v>255</v>
      </c>
      <c r="C116" s="126"/>
      <c r="D116" s="126"/>
      <c r="E116" s="126"/>
      <c r="F116" s="127"/>
      <c r="G116" s="173"/>
      <c r="H116" s="6"/>
    </row>
    <row r="117" spans="1:8" s="18" customFormat="1" ht="13" x14ac:dyDescent="0.25">
      <c r="A117" s="20" t="s">
        <v>91</v>
      </c>
      <c r="B117" s="125" t="s">
        <v>256</v>
      </c>
      <c r="C117" s="126"/>
      <c r="D117" s="126"/>
      <c r="E117" s="126"/>
      <c r="F117" s="127"/>
      <c r="G117" s="174"/>
      <c r="H117" s="6"/>
    </row>
    <row r="118" spans="1:8" s="18" customFormat="1" ht="25" x14ac:dyDescent="0.25">
      <c r="A118" s="52" t="s">
        <v>93</v>
      </c>
      <c r="B118" s="25" t="s">
        <v>257</v>
      </c>
      <c r="C118" s="10" t="s">
        <v>15</v>
      </c>
      <c r="D118" s="26">
        <v>85</v>
      </c>
      <c r="E118" s="9">
        <f>(28+3)*1.4*1.13</f>
        <v>49.041999999999994</v>
      </c>
      <c r="F118" s="9">
        <f>E118*D118</f>
        <v>4168.57</v>
      </c>
      <c r="G118" s="174"/>
      <c r="H118" s="6"/>
    </row>
    <row r="119" spans="1:8" s="18" customFormat="1" ht="13" x14ac:dyDescent="0.25">
      <c r="A119" s="20" t="s">
        <v>258</v>
      </c>
      <c r="B119" s="125" t="s">
        <v>259</v>
      </c>
      <c r="C119" s="126"/>
      <c r="D119" s="126"/>
      <c r="E119" s="126"/>
      <c r="F119" s="127"/>
      <c r="G119" s="174"/>
      <c r="H119" s="6"/>
    </row>
    <row r="120" spans="1:8" s="18" customFormat="1" ht="50" x14ac:dyDescent="0.25">
      <c r="A120" s="52" t="s">
        <v>260</v>
      </c>
      <c r="B120" s="25" t="s">
        <v>261</v>
      </c>
      <c r="C120" s="10" t="s">
        <v>27</v>
      </c>
      <c r="D120" s="26">
        <v>6</v>
      </c>
      <c r="E120" s="9">
        <v>440.56</v>
      </c>
      <c r="F120" s="9">
        <f>E120*D120</f>
        <v>2643.36</v>
      </c>
      <c r="G120" s="174"/>
      <c r="H120" s="6"/>
    </row>
    <row r="121" spans="1:8" s="18" customFormat="1" ht="25" x14ac:dyDescent="0.25">
      <c r="A121" s="52" t="s">
        <v>262</v>
      </c>
      <c r="B121" s="25" t="s">
        <v>263</v>
      </c>
      <c r="C121" s="10" t="s">
        <v>23</v>
      </c>
      <c r="D121" s="26">
        <f>6*4.2</f>
        <v>25.200000000000003</v>
      </c>
      <c r="E121" s="9">
        <v>205.59</v>
      </c>
      <c r="F121" s="9">
        <f>E121*D121</f>
        <v>5180.8680000000004</v>
      </c>
      <c r="G121" s="174"/>
      <c r="H121" s="6"/>
    </row>
    <row r="122" spans="1:8" s="18" customFormat="1" ht="25" x14ac:dyDescent="0.25">
      <c r="A122" s="52" t="s">
        <v>264</v>
      </c>
      <c r="B122" s="25" t="s">
        <v>265</v>
      </c>
      <c r="C122" s="10" t="s">
        <v>23</v>
      </c>
      <c r="D122" s="26">
        <f>(5.8*3)+(12*2)</f>
        <v>41.4</v>
      </c>
      <c r="E122" s="9">
        <v>166.43</v>
      </c>
      <c r="F122" s="9">
        <f>E122*D122</f>
        <v>6890.2020000000002</v>
      </c>
      <c r="G122" s="174"/>
      <c r="H122" s="6"/>
    </row>
    <row r="123" spans="1:8" s="18" customFormat="1" ht="13" x14ac:dyDescent="0.25">
      <c r="A123" s="20" t="s">
        <v>266</v>
      </c>
      <c r="B123" s="125" t="s">
        <v>267</v>
      </c>
      <c r="C123" s="126"/>
      <c r="D123" s="126"/>
      <c r="E123" s="126"/>
      <c r="F123" s="127"/>
      <c r="G123" s="174"/>
      <c r="H123" s="6"/>
    </row>
    <row r="124" spans="1:8" s="18" customFormat="1" ht="25" x14ac:dyDescent="0.25">
      <c r="A124" s="32" t="s">
        <v>268</v>
      </c>
      <c r="B124" s="25" t="s">
        <v>269</v>
      </c>
      <c r="C124" s="10" t="s">
        <v>15</v>
      </c>
      <c r="D124" s="26">
        <v>85</v>
      </c>
      <c r="E124" s="9">
        <v>10.54</v>
      </c>
      <c r="F124" s="9">
        <f t="shared" ref="F124" si="9">E124*D124</f>
        <v>895.9</v>
      </c>
      <c r="G124" s="174"/>
      <c r="H124" s="6"/>
    </row>
    <row r="125" spans="1:8" s="18" customFormat="1" ht="12.5" x14ac:dyDescent="0.25">
      <c r="A125" s="176"/>
      <c r="B125" s="129"/>
      <c r="C125" s="129"/>
      <c r="D125" s="129"/>
      <c r="E125" s="129"/>
      <c r="F125" s="130"/>
      <c r="G125" s="174"/>
      <c r="H125" s="6"/>
    </row>
    <row r="126" spans="1:8" s="18" customFormat="1" ht="13" x14ac:dyDescent="0.25">
      <c r="A126" s="20">
        <v>4.2</v>
      </c>
      <c r="B126" s="125" t="s">
        <v>95</v>
      </c>
      <c r="C126" s="126"/>
      <c r="D126" s="126"/>
      <c r="E126" s="126"/>
      <c r="F126" s="127"/>
      <c r="G126" s="174"/>
      <c r="H126" s="6"/>
    </row>
    <row r="127" spans="1:8" s="18" customFormat="1" ht="62.5" x14ac:dyDescent="0.25">
      <c r="A127" s="10" t="s">
        <v>96</v>
      </c>
      <c r="B127" s="40" t="s">
        <v>270</v>
      </c>
      <c r="C127" s="41" t="s">
        <v>23</v>
      </c>
      <c r="D127" s="42">
        <f>2*4</f>
        <v>8</v>
      </c>
      <c r="E127" s="43">
        <v>95.050803015404796</v>
      </c>
      <c r="F127" s="43">
        <f t="shared" ref="F127:F128" si="10">D127*E127</f>
        <v>760.40642412323837</v>
      </c>
      <c r="G127" s="174"/>
      <c r="H127" s="6"/>
    </row>
    <row r="128" spans="1:8" s="18" customFormat="1" ht="25" x14ac:dyDescent="0.25">
      <c r="A128" s="10" t="s">
        <v>271</v>
      </c>
      <c r="B128" s="44" t="s">
        <v>219</v>
      </c>
      <c r="C128" s="41" t="s">
        <v>23</v>
      </c>
      <c r="D128" s="42">
        <f>4*6</f>
        <v>24</v>
      </c>
      <c r="E128" s="43">
        <v>113.40544083906916</v>
      </c>
      <c r="F128" s="43">
        <f t="shared" si="10"/>
        <v>2721.7305801376597</v>
      </c>
      <c r="G128" s="174"/>
      <c r="H128" s="6"/>
    </row>
    <row r="129" spans="1:8" s="18" customFormat="1" ht="50" x14ac:dyDescent="0.25">
      <c r="A129" s="10" t="s">
        <v>272</v>
      </c>
      <c r="B129" s="44" t="s">
        <v>221</v>
      </c>
      <c r="C129" s="41" t="s">
        <v>23</v>
      </c>
      <c r="D129" s="42">
        <f>18*3</f>
        <v>54</v>
      </c>
      <c r="E129" s="43">
        <v>25.565388397246807</v>
      </c>
      <c r="F129" s="43">
        <f>+E129*D129</f>
        <v>1380.5309734513276</v>
      </c>
      <c r="G129" s="174"/>
      <c r="H129" s="6"/>
    </row>
    <row r="130" spans="1:8" s="18" customFormat="1" ht="162.5" x14ac:dyDescent="0.25">
      <c r="A130" s="10" t="s">
        <v>273</v>
      </c>
      <c r="B130" s="44" t="s">
        <v>274</v>
      </c>
      <c r="C130" s="41" t="s">
        <v>15</v>
      </c>
      <c r="D130" s="42">
        <f>18*5</f>
        <v>90</v>
      </c>
      <c r="E130" s="43">
        <v>114.48728262887558</v>
      </c>
      <c r="F130" s="43">
        <f>E130*D130</f>
        <v>10303.855436598802</v>
      </c>
      <c r="G130" s="174"/>
      <c r="H130" s="6"/>
    </row>
    <row r="131" spans="1:8" s="18" customFormat="1" ht="50" x14ac:dyDescent="0.25">
      <c r="A131" s="10" t="s">
        <v>275</v>
      </c>
      <c r="B131" s="44" t="s">
        <v>276</v>
      </c>
      <c r="C131" s="41" t="s">
        <v>23</v>
      </c>
      <c r="D131" s="42">
        <v>50</v>
      </c>
      <c r="E131" s="43">
        <v>45.794913051550232</v>
      </c>
      <c r="F131" s="43">
        <f>E131*D131</f>
        <v>2289.7456525775115</v>
      </c>
      <c r="G131" s="174"/>
      <c r="H131" s="6"/>
    </row>
    <row r="132" spans="1:8" s="18" customFormat="1" ht="50" x14ac:dyDescent="0.25">
      <c r="A132" s="10" t="s">
        <v>277</v>
      </c>
      <c r="B132" s="25" t="s">
        <v>223</v>
      </c>
      <c r="C132" s="10" t="s">
        <v>23</v>
      </c>
      <c r="D132" s="26">
        <v>77</v>
      </c>
      <c r="E132" s="9">
        <v>23.516306702147411</v>
      </c>
      <c r="F132" s="9">
        <f>E132*D132</f>
        <v>1810.7556160653505</v>
      </c>
      <c r="G132" s="174"/>
      <c r="H132" s="6"/>
    </row>
    <row r="133" spans="1:8" s="18" customFormat="1" ht="37.5" x14ac:dyDescent="0.25">
      <c r="A133" s="10" t="s">
        <v>278</v>
      </c>
      <c r="B133" s="25" t="s">
        <v>233</v>
      </c>
      <c r="C133" s="10" t="s">
        <v>15</v>
      </c>
      <c r="D133" s="26">
        <v>27</v>
      </c>
      <c r="E133" s="45">
        <v>6.5552277941658481</v>
      </c>
      <c r="F133" s="9">
        <f t="shared" ref="F133:F134" si="11">E133*D133</f>
        <v>176.9911504424779</v>
      </c>
      <c r="G133" s="174"/>
      <c r="H133" s="6"/>
    </row>
    <row r="134" spans="1:8" s="18" customFormat="1" ht="75" x14ac:dyDescent="0.25">
      <c r="A134" s="10" t="s">
        <v>279</v>
      </c>
      <c r="B134" s="44" t="s">
        <v>235</v>
      </c>
      <c r="C134" s="41" t="s">
        <v>110</v>
      </c>
      <c r="D134" s="42">
        <v>1</v>
      </c>
      <c r="E134" s="45">
        <v>935.08261649854569</v>
      </c>
      <c r="F134" s="9">
        <f t="shared" si="11"/>
        <v>935.08261649854569</v>
      </c>
      <c r="G134" s="174"/>
      <c r="H134" s="6"/>
    </row>
    <row r="135" spans="1:8" s="18" customFormat="1" ht="100" x14ac:dyDescent="0.25">
      <c r="A135" s="10" t="s">
        <v>280</v>
      </c>
      <c r="B135" s="53" t="s">
        <v>281</v>
      </c>
      <c r="C135" s="10" t="s">
        <v>23</v>
      </c>
      <c r="D135" s="26">
        <f>5+5+5</f>
        <v>15</v>
      </c>
      <c r="E135" s="9">
        <v>20.422055820285909</v>
      </c>
      <c r="F135" s="9">
        <f>E135*D135</f>
        <v>306.33083730428865</v>
      </c>
      <c r="G135" s="174"/>
      <c r="H135" s="6"/>
    </row>
    <row r="136" spans="1:8" s="18" customFormat="1" ht="12.5" x14ac:dyDescent="0.25">
      <c r="A136" s="129"/>
      <c r="B136" s="129"/>
      <c r="C136" s="129"/>
      <c r="D136" s="129"/>
      <c r="E136" s="129"/>
      <c r="F136" s="130"/>
      <c r="G136" s="174"/>
      <c r="H136" s="6"/>
    </row>
    <row r="137" spans="1:8" s="18" customFormat="1" ht="13" x14ac:dyDescent="0.25">
      <c r="A137" s="20">
        <v>4.3</v>
      </c>
      <c r="B137" s="125" t="s">
        <v>98</v>
      </c>
      <c r="C137" s="126"/>
      <c r="D137" s="126"/>
      <c r="E137" s="126"/>
      <c r="F137" s="127"/>
      <c r="G137" s="174"/>
      <c r="H137" s="6"/>
    </row>
    <row r="138" spans="1:8" s="18" customFormat="1" ht="13" x14ac:dyDescent="0.25">
      <c r="A138" s="20" t="s">
        <v>99</v>
      </c>
      <c r="B138" s="125" t="s">
        <v>282</v>
      </c>
      <c r="C138" s="126"/>
      <c r="D138" s="126"/>
      <c r="E138" s="126"/>
      <c r="F138" s="127"/>
      <c r="G138" s="174"/>
      <c r="H138" s="6"/>
    </row>
    <row r="139" spans="1:8" s="18" customFormat="1" ht="12.5" x14ac:dyDescent="0.25">
      <c r="A139" s="10" t="s">
        <v>283</v>
      </c>
      <c r="B139" s="25" t="s">
        <v>284</v>
      </c>
      <c r="C139" s="10" t="s">
        <v>15</v>
      </c>
      <c r="D139" s="26">
        <v>32</v>
      </c>
      <c r="E139" s="9">
        <v>2.4754007054892018</v>
      </c>
      <c r="F139" s="9">
        <f>E139*D139</f>
        <v>79.212822575654457</v>
      </c>
      <c r="G139" s="174"/>
      <c r="H139" s="6"/>
    </row>
    <row r="140" spans="1:8" s="18" customFormat="1" ht="12.5" x14ac:dyDescent="0.25">
      <c r="A140" s="10" t="s">
        <v>285</v>
      </c>
      <c r="B140" s="25" t="s">
        <v>286</v>
      </c>
      <c r="C140" s="10" t="s">
        <v>20</v>
      </c>
      <c r="D140" s="26">
        <f>32*0.75</f>
        <v>24</v>
      </c>
      <c r="E140" s="9">
        <v>13.614703880190607</v>
      </c>
      <c r="F140" s="9">
        <f t="shared" ref="F140:F143" si="12">E140*D140</f>
        <v>326.7528931245746</v>
      </c>
      <c r="G140" s="174"/>
      <c r="H140" s="6"/>
    </row>
    <row r="141" spans="1:8" s="18" customFormat="1" ht="12.5" x14ac:dyDescent="0.25">
      <c r="A141" s="10" t="s">
        <v>287</v>
      </c>
      <c r="B141" s="25" t="s">
        <v>288</v>
      </c>
      <c r="C141" s="10" t="s">
        <v>20</v>
      </c>
      <c r="D141" s="26">
        <f>D140*1.3</f>
        <v>31.200000000000003</v>
      </c>
      <c r="E141" s="9">
        <v>11.758153351073705</v>
      </c>
      <c r="F141" s="9">
        <f t="shared" si="12"/>
        <v>366.85438455349964</v>
      </c>
      <c r="G141" s="174"/>
      <c r="H141" s="6"/>
    </row>
    <row r="142" spans="1:8" s="18" customFormat="1" ht="25" x14ac:dyDescent="0.25">
      <c r="A142" s="10" t="s">
        <v>289</v>
      </c>
      <c r="B142" s="25" t="s">
        <v>290</v>
      </c>
      <c r="C142" s="10" t="s">
        <v>15</v>
      </c>
      <c r="D142" s="26">
        <f>D139</f>
        <v>32</v>
      </c>
      <c r="E142" s="9">
        <v>42.081811993316421</v>
      </c>
      <c r="F142" s="9">
        <f t="shared" si="12"/>
        <v>1346.6179837861255</v>
      </c>
      <c r="G142" s="174"/>
      <c r="H142" s="6"/>
    </row>
    <row r="143" spans="1:8" s="18" customFormat="1" ht="12.5" x14ac:dyDescent="0.25">
      <c r="A143" s="10" t="s">
        <v>291</v>
      </c>
      <c r="B143" s="25" t="s">
        <v>292</v>
      </c>
      <c r="C143" s="10" t="s">
        <v>15</v>
      </c>
      <c r="D143" s="26">
        <v>4</v>
      </c>
      <c r="E143" s="9">
        <v>75.499721517420639</v>
      </c>
      <c r="F143" s="9">
        <f t="shared" si="12"/>
        <v>301.99888606968256</v>
      </c>
      <c r="G143" s="174"/>
      <c r="H143" s="6"/>
    </row>
    <row r="144" spans="1:8" s="18" customFormat="1" ht="25" x14ac:dyDescent="0.25">
      <c r="A144" s="10" t="s">
        <v>293</v>
      </c>
      <c r="B144" s="25" t="s">
        <v>190</v>
      </c>
      <c r="C144" s="10" t="s">
        <v>15</v>
      </c>
      <c r="D144" s="26">
        <f>31*3</f>
        <v>93</v>
      </c>
      <c r="E144" s="9">
        <v>173.2780493842441</v>
      </c>
      <c r="F144" s="9">
        <f>E144*D144</f>
        <v>16114.858592734701</v>
      </c>
      <c r="G144" s="174"/>
      <c r="H144" s="6"/>
    </row>
    <row r="145" spans="1:8" s="18" customFormat="1" ht="25" x14ac:dyDescent="0.25">
      <c r="A145" s="10" t="s">
        <v>294</v>
      </c>
      <c r="B145" s="54" t="s">
        <v>295</v>
      </c>
      <c r="C145" s="55" t="s">
        <v>15</v>
      </c>
      <c r="D145" s="26">
        <v>32</v>
      </c>
      <c r="E145" s="9">
        <v>50.745714462528632</v>
      </c>
      <c r="F145" s="9">
        <f>E145*D145</f>
        <v>1623.8628628009162</v>
      </c>
      <c r="G145" s="174"/>
      <c r="H145" s="6"/>
    </row>
    <row r="146" spans="1:8" s="18" customFormat="1" ht="37.5" x14ac:dyDescent="0.25">
      <c r="A146" s="10" t="s">
        <v>296</v>
      </c>
      <c r="B146" s="25" t="s">
        <v>233</v>
      </c>
      <c r="C146" s="10" t="s">
        <v>15</v>
      </c>
      <c r="D146" s="26">
        <f>ROUND(31*1.8,0)</f>
        <v>56</v>
      </c>
      <c r="E146" s="45">
        <v>6.5552277941658481</v>
      </c>
      <c r="F146" s="9">
        <f t="shared" ref="F146" si="13">E146*D146</f>
        <v>367.09275647328752</v>
      </c>
      <c r="G146" s="174"/>
      <c r="H146" s="6"/>
    </row>
    <row r="147" spans="1:8" s="18" customFormat="1" ht="25" x14ac:dyDescent="0.25">
      <c r="A147" s="10" t="s">
        <v>297</v>
      </c>
      <c r="B147" s="25" t="s">
        <v>298</v>
      </c>
      <c r="C147" s="10" t="s">
        <v>23</v>
      </c>
      <c r="D147" s="34">
        <v>15</v>
      </c>
      <c r="E147" s="9">
        <v>35.4</v>
      </c>
      <c r="F147" s="9">
        <f>E147*D147</f>
        <v>531</v>
      </c>
      <c r="G147" s="174"/>
      <c r="H147" s="6"/>
    </row>
    <row r="148" spans="1:8" s="18" customFormat="1" ht="25" x14ac:dyDescent="0.25">
      <c r="A148" s="10" t="s">
        <v>299</v>
      </c>
      <c r="B148" s="25" t="s">
        <v>300</v>
      </c>
      <c r="C148" s="10" t="s">
        <v>23</v>
      </c>
      <c r="D148" s="26">
        <v>45</v>
      </c>
      <c r="E148" s="9">
        <v>86.639024692122049</v>
      </c>
      <c r="F148" s="9">
        <f>E148*D148</f>
        <v>3898.756111145492</v>
      </c>
      <c r="G148" s="174"/>
      <c r="H148" s="6"/>
    </row>
    <row r="149" spans="1:8" s="18" customFormat="1" ht="12.5" x14ac:dyDescent="0.25">
      <c r="A149" s="129"/>
      <c r="B149" s="129"/>
      <c r="C149" s="129"/>
      <c r="D149" s="129"/>
      <c r="E149" s="129"/>
      <c r="F149" s="130"/>
      <c r="G149" s="174"/>
      <c r="H149" s="6"/>
    </row>
    <row r="150" spans="1:8" s="18" customFormat="1" ht="13" x14ac:dyDescent="0.25">
      <c r="A150" s="20" t="s">
        <v>301</v>
      </c>
      <c r="B150" s="125" t="s">
        <v>302</v>
      </c>
      <c r="C150" s="126"/>
      <c r="D150" s="126"/>
      <c r="E150" s="126"/>
      <c r="F150" s="127"/>
      <c r="G150" s="174"/>
      <c r="H150" s="6"/>
    </row>
    <row r="151" spans="1:8" s="18" customFormat="1" ht="12.5" x14ac:dyDescent="0.25">
      <c r="A151" s="56" t="s">
        <v>283</v>
      </c>
      <c r="B151" s="25" t="s">
        <v>284</v>
      </c>
      <c r="C151" s="10" t="s">
        <v>15</v>
      </c>
      <c r="D151" s="26">
        <v>27</v>
      </c>
      <c r="E151" s="9">
        <v>2.4754007054892018</v>
      </c>
      <c r="F151" s="9">
        <f>E151*D151</f>
        <v>66.83581904820845</v>
      </c>
      <c r="G151" s="174"/>
      <c r="H151" s="6"/>
    </row>
    <row r="152" spans="1:8" s="18" customFormat="1" ht="12.5" x14ac:dyDescent="0.25">
      <c r="A152" s="56" t="s">
        <v>285</v>
      </c>
      <c r="B152" s="25" t="s">
        <v>286</v>
      </c>
      <c r="C152" s="10" t="s">
        <v>20</v>
      </c>
      <c r="D152" s="26">
        <f>ROUND(27*0.75,0)</f>
        <v>20</v>
      </c>
      <c r="E152" s="9">
        <v>13.614703880190607</v>
      </c>
      <c r="F152" s="9">
        <f t="shared" ref="F152:F155" si="14">E152*D152</f>
        <v>272.29407760381213</v>
      </c>
      <c r="G152" s="174"/>
      <c r="H152" s="6"/>
    </row>
    <row r="153" spans="1:8" s="18" customFormat="1" ht="12.5" x14ac:dyDescent="0.25">
      <c r="A153" s="56" t="s">
        <v>287</v>
      </c>
      <c r="B153" s="25" t="s">
        <v>288</v>
      </c>
      <c r="C153" s="10" t="s">
        <v>20</v>
      </c>
      <c r="D153" s="26">
        <f>ROUND(D152*1.3,0)</f>
        <v>26</v>
      </c>
      <c r="E153" s="9">
        <v>11.758153351073705</v>
      </c>
      <c r="F153" s="9">
        <f t="shared" si="14"/>
        <v>305.71198712791636</v>
      </c>
      <c r="G153" s="174"/>
      <c r="H153" s="6"/>
    </row>
    <row r="154" spans="1:8" s="18" customFormat="1" ht="25" x14ac:dyDescent="0.25">
      <c r="A154" s="56" t="s">
        <v>289</v>
      </c>
      <c r="B154" s="25" t="s">
        <v>290</v>
      </c>
      <c r="C154" s="10" t="s">
        <v>15</v>
      </c>
      <c r="D154" s="26">
        <v>27</v>
      </c>
      <c r="E154" s="9">
        <v>42.081811993316421</v>
      </c>
      <c r="F154" s="9">
        <f t="shared" si="14"/>
        <v>1136.2089238195433</v>
      </c>
      <c r="G154" s="174"/>
      <c r="H154" s="6"/>
    </row>
    <row r="155" spans="1:8" s="18" customFormat="1" ht="12.5" x14ac:dyDescent="0.25">
      <c r="A155" s="56" t="s">
        <v>291</v>
      </c>
      <c r="B155" s="25" t="s">
        <v>292</v>
      </c>
      <c r="C155" s="10" t="s">
        <v>15</v>
      </c>
      <c r="D155" s="26">
        <v>2</v>
      </c>
      <c r="E155" s="9">
        <v>75.499721517420639</v>
      </c>
      <c r="F155" s="9">
        <f t="shared" si="14"/>
        <v>150.99944303484128</v>
      </c>
      <c r="G155" s="174"/>
      <c r="H155" s="6"/>
    </row>
    <row r="156" spans="1:8" s="18" customFormat="1" ht="25" x14ac:dyDescent="0.25">
      <c r="A156" s="56" t="s">
        <v>293</v>
      </c>
      <c r="B156" s="25" t="s">
        <v>190</v>
      </c>
      <c r="C156" s="10" t="s">
        <v>15</v>
      </c>
      <c r="D156" s="26">
        <f>ROUND(38*0.75,0)</f>
        <v>29</v>
      </c>
      <c r="E156" s="9">
        <v>173.2780493842441</v>
      </c>
      <c r="F156" s="9">
        <f>E156*D156</f>
        <v>5025.0634321430789</v>
      </c>
      <c r="G156" s="174"/>
      <c r="H156" s="6"/>
    </row>
    <row r="157" spans="1:8" s="18" customFormat="1" ht="25" x14ac:dyDescent="0.25">
      <c r="A157" s="56" t="s">
        <v>294</v>
      </c>
      <c r="B157" s="54" t="s">
        <v>295</v>
      </c>
      <c r="C157" s="55" t="s">
        <v>15</v>
      </c>
      <c r="D157" s="26">
        <v>27</v>
      </c>
      <c r="E157" s="9">
        <v>50.745714462528632</v>
      </c>
      <c r="F157" s="9">
        <f>E157*D157</f>
        <v>1370.1342904882731</v>
      </c>
      <c r="G157" s="174"/>
      <c r="H157" s="6"/>
    </row>
    <row r="158" spans="1:8" s="18" customFormat="1" ht="37.5" x14ac:dyDescent="0.25">
      <c r="A158" s="56" t="s">
        <v>296</v>
      </c>
      <c r="B158" s="25" t="s">
        <v>233</v>
      </c>
      <c r="C158" s="10" t="s">
        <v>15</v>
      </c>
      <c r="D158" s="26">
        <v>29</v>
      </c>
      <c r="E158" s="45">
        <v>6.5552277941658481</v>
      </c>
      <c r="F158" s="9">
        <f t="shared" ref="F158" si="15">E158*D158</f>
        <v>190.10160603080959</v>
      </c>
      <c r="G158" s="174"/>
      <c r="H158" s="6"/>
    </row>
    <row r="159" spans="1:8" s="18" customFormat="1" ht="12.5" x14ac:dyDescent="0.25">
      <c r="A159" s="129"/>
      <c r="B159" s="129"/>
      <c r="C159" s="129"/>
      <c r="D159" s="129"/>
      <c r="E159" s="129"/>
      <c r="F159" s="130"/>
      <c r="G159" s="174"/>
      <c r="H159" s="6"/>
    </row>
    <row r="160" spans="1:8" s="18" customFormat="1" ht="13" x14ac:dyDescent="0.25">
      <c r="A160" s="20">
        <v>4.4000000000000004</v>
      </c>
      <c r="B160" s="125" t="s">
        <v>101</v>
      </c>
      <c r="C160" s="126"/>
      <c r="D160" s="126"/>
      <c r="E160" s="126"/>
      <c r="F160" s="127"/>
      <c r="G160" s="174"/>
      <c r="H160" s="6"/>
    </row>
    <row r="161" spans="1:8" s="18" customFormat="1" ht="212.5" x14ac:dyDescent="0.25">
      <c r="A161" s="56" t="s">
        <v>102</v>
      </c>
      <c r="B161" s="25" t="s">
        <v>303</v>
      </c>
      <c r="C161" s="10" t="s">
        <v>15</v>
      </c>
      <c r="D161" s="26">
        <v>15</v>
      </c>
      <c r="E161" s="9">
        <f>352*1.55</f>
        <v>545.6</v>
      </c>
      <c r="F161" s="9">
        <f>E161*D161</f>
        <v>8184</v>
      </c>
      <c r="G161" s="174"/>
      <c r="H161" s="6"/>
    </row>
    <row r="162" spans="1:8" s="18" customFormat="1" ht="25" x14ac:dyDescent="0.25">
      <c r="A162" s="56" t="s">
        <v>104</v>
      </c>
      <c r="B162" s="25" t="s">
        <v>304</v>
      </c>
      <c r="C162" s="10" t="s">
        <v>27</v>
      </c>
      <c r="D162" s="26">
        <v>1</v>
      </c>
      <c r="E162" s="9">
        <v>439.38362522433329</v>
      </c>
      <c r="F162" s="9">
        <f t="shared" ref="F162:F163" si="16">E162*D162</f>
        <v>439.38362522433329</v>
      </c>
      <c r="G162" s="174"/>
      <c r="H162" s="6"/>
    </row>
    <row r="163" spans="1:8" s="18" customFormat="1" ht="25" x14ac:dyDescent="0.25">
      <c r="A163" s="56" t="s">
        <v>305</v>
      </c>
      <c r="B163" s="25" t="s">
        <v>127</v>
      </c>
      <c r="C163" s="10" t="s">
        <v>27</v>
      </c>
      <c r="D163" s="26">
        <v>1</v>
      </c>
      <c r="E163" s="9">
        <v>22.278606349402814</v>
      </c>
      <c r="F163" s="9">
        <f t="shared" si="16"/>
        <v>22.278606349402814</v>
      </c>
      <c r="G163" s="174"/>
      <c r="H163" s="6"/>
    </row>
    <row r="164" spans="1:8" s="18" customFormat="1" ht="12.5" x14ac:dyDescent="0.25">
      <c r="A164" s="129"/>
      <c r="B164" s="129"/>
      <c r="C164" s="129"/>
      <c r="D164" s="129"/>
      <c r="E164" s="129"/>
      <c r="F164" s="130"/>
      <c r="G164" s="174"/>
      <c r="H164" s="6"/>
    </row>
    <row r="165" spans="1:8" s="18" customFormat="1" ht="13" x14ac:dyDescent="0.25">
      <c r="A165" s="20">
        <v>4.5</v>
      </c>
      <c r="B165" s="125" t="s">
        <v>105</v>
      </c>
      <c r="C165" s="126"/>
      <c r="D165" s="126"/>
      <c r="E165" s="126"/>
      <c r="F165" s="127"/>
      <c r="G165" s="174"/>
      <c r="H165" s="6"/>
    </row>
    <row r="166" spans="1:8" s="18" customFormat="1" ht="25" x14ac:dyDescent="0.25">
      <c r="A166" s="56" t="s">
        <v>106</v>
      </c>
      <c r="B166" s="57" t="s">
        <v>107</v>
      </c>
      <c r="C166" s="10" t="s">
        <v>23</v>
      </c>
      <c r="D166" s="26">
        <v>151</v>
      </c>
      <c r="E166" s="9">
        <v>184.41735255894551</v>
      </c>
      <c r="F166" s="9">
        <f>E166*D166</f>
        <v>27847.020236400771</v>
      </c>
      <c r="G166" s="174"/>
      <c r="H166" s="6"/>
    </row>
    <row r="167" spans="1:8" s="18" customFormat="1" ht="75" x14ac:dyDescent="0.25">
      <c r="A167" s="56" t="s">
        <v>108</v>
      </c>
      <c r="B167" s="25" t="s">
        <v>109</v>
      </c>
      <c r="C167" s="10" t="s">
        <v>110</v>
      </c>
      <c r="D167" s="26">
        <v>5</v>
      </c>
      <c r="E167" s="9">
        <v>172.04034903149952</v>
      </c>
      <c r="F167" s="9">
        <f>E167*D167</f>
        <v>860.20174515749761</v>
      </c>
      <c r="G167" s="174"/>
      <c r="H167" s="6"/>
    </row>
    <row r="168" spans="1:8" s="18" customFormat="1" ht="13" x14ac:dyDescent="0.25">
      <c r="A168" s="56"/>
      <c r="B168" s="190" t="s">
        <v>306</v>
      </c>
      <c r="C168" s="191"/>
      <c r="D168" s="191"/>
      <c r="E168" s="191"/>
      <c r="F168" s="192"/>
      <c r="G168" s="174"/>
      <c r="H168" s="6"/>
    </row>
    <row r="169" spans="1:8" s="18" customFormat="1" ht="12.5" x14ac:dyDescent="0.25">
      <c r="A169" s="129"/>
      <c r="B169" s="129"/>
      <c r="C169" s="129"/>
      <c r="D169" s="129"/>
      <c r="E169" s="129"/>
      <c r="F169" s="130"/>
      <c r="G169" s="174"/>
      <c r="H169" s="6"/>
    </row>
    <row r="170" spans="1:8" s="18" customFormat="1" ht="13" x14ac:dyDescent="0.25">
      <c r="A170" s="20">
        <v>4.5999999999999996</v>
      </c>
      <c r="B170" s="125" t="s">
        <v>112</v>
      </c>
      <c r="C170" s="126"/>
      <c r="D170" s="126"/>
      <c r="E170" s="126"/>
      <c r="F170" s="127"/>
      <c r="G170" s="174"/>
      <c r="H170" s="6"/>
    </row>
    <row r="171" spans="1:8" s="18" customFormat="1" ht="200" x14ac:dyDescent="0.25">
      <c r="A171" s="51" t="s">
        <v>113</v>
      </c>
      <c r="B171" s="54" t="s">
        <v>307</v>
      </c>
      <c r="C171" s="10" t="s">
        <v>115</v>
      </c>
      <c r="D171" s="34">
        <v>1</v>
      </c>
      <c r="E171" s="9">
        <v>71200</v>
      </c>
      <c r="F171" s="9">
        <f>E171*D171</f>
        <v>71200</v>
      </c>
      <c r="G171" s="174"/>
      <c r="H171" s="6"/>
    </row>
    <row r="172" spans="1:8" s="18" customFormat="1" ht="12.5" x14ac:dyDescent="0.25">
      <c r="A172" s="129"/>
      <c r="B172" s="129"/>
      <c r="C172" s="129"/>
      <c r="D172" s="129"/>
      <c r="E172" s="129"/>
      <c r="F172" s="130"/>
      <c r="G172" s="174"/>
      <c r="H172" s="6"/>
    </row>
    <row r="173" spans="1:8" s="18" customFormat="1" ht="13" x14ac:dyDescent="0.25">
      <c r="A173" s="20">
        <v>4.7</v>
      </c>
      <c r="B173" s="125" t="s">
        <v>116</v>
      </c>
      <c r="C173" s="126"/>
      <c r="D173" s="126"/>
      <c r="E173" s="126"/>
      <c r="F173" s="127"/>
      <c r="G173" s="174"/>
      <c r="H173" s="6"/>
    </row>
    <row r="174" spans="1:8" s="18" customFormat="1" ht="25" x14ac:dyDescent="0.25">
      <c r="A174" s="29" t="s">
        <v>117</v>
      </c>
      <c r="B174" s="25" t="s">
        <v>118</v>
      </c>
      <c r="C174" s="10" t="s">
        <v>15</v>
      </c>
      <c r="D174" s="34">
        <v>86</v>
      </c>
      <c r="E174" s="9">
        <v>71.786620459186835</v>
      </c>
      <c r="F174" s="9">
        <f>E174*D174</f>
        <v>6173.6493594900676</v>
      </c>
      <c r="G174" s="174"/>
      <c r="H174" s="6"/>
    </row>
    <row r="175" spans="1:8" s="18" customFormat="1" ht="25" x14ac:dyDescent="0.25">
      <c r="A175" s="29" t="s">
        <v>119</v>
      </c>
      <c r="B175" s="25" t="s">
        <v>120</v>
      </c>
      <c r="C175" s="10" t="s">
        <v>110</v>
      </c>
      <c r="D175" s="34">
        <v>1</v>
      </c>
      <c r="E175" s="9">
        <v>2176.6633890527696</v>
      </c>
      <c r="F175" s="9">
        <f>E175*D175</f>
        <v>2176.6633890527696</v>
      </c>
      <c r="G175" s="174"/>
      <c r="H175" s="6"/>
    </row>
    <row r="176" spans="1:8" s="18" customFormat="1" ht="12.5" x14ac:dyDescent="0.25">
      <c r="A176" s="129"/>
      <c r="B176" s="129"/>
      <c r="C176" s="129"/>
      <c r="D176" s="129"/>
      <c r="E176" s="129"/>
      <c r="F176" s="130"/>
      <c r="G176" s="174"/>
      <c r="H176" s="6"/>
    </row>
    <row r="177" spans="1:8" s="18" customFormat="1" ht="13" x14ac:dyDescent="0.25">
      <c r="A177" s="20">
        <v>4.8</v>
      </c>
      <c r="B177" s="125" t="s">
        <v>121</v>
      </c>
      <c r="C177" s="126"/>
      <c r="D177" s="126"/>
      <c r="E177" s="126"/>
      <c r="F177" s="127"/>
      <c r="G177" s="174"/>
      <c r="H177" s="6"/>
    </row>
    <row r="178" spans="1:8" s="18" customFormat="1" ht="12.5" x14ac:dyDescent="0.25">
      <c r="A178" s="29" t="s">
        <v>122</v>
      </c>
      <c r="B178" s="25" t="s">
        <v>308</v>
      </c>
      <c r="C178" s="10" t="s">
        <v>15</v>
      </c>
      <c r="D178" s="34">
        <f>ROUND((27.5+2.6+8.9+95.75+17.05+44.7+11.75)-12,0)</f>
        <v>196</v>
      </c>
      <c r="E178" s="9">
        <v>7.4262021164676035</v>
      </c>
      <c r="F178" s="9">
        <f>E178*D178</f>
        <v>1455.5356148276503</v>
      </c>
      <c r="G178" s="174"/>
      <c r="H178" s="6"/>
    </row>
    <row r="179" spans="1:8" s="18" customFormat="1" ht="12.5" x14ac:dyDescent="0.25">
      <c r="A179" s="29" t="s">
        <v>124</v>
      </c>
      <c r="B179" s="25" t="s">
        <v>125</v>
      </c>
      <c r="C179" s="10" t="s">
        <v>110</v>
      </c>
      <c r="D179" s="26">
        <v>75</v>
      </c>
      <c r="E179" s="9">
        <v>9.9016028219568071</v>
      </c>
      <c r="F179" s="9">
        <f>E179*D179</f>
        <v>742.62021164676048</v>
      </c>
      <c r="G179" s="174"/>
      <c r="H179" s="6"/>
    </row>
    <row r="180" spans="1:8" s="18" customFormat="1" ht="25" x14ac:dyDescent="0.25">
      <c r="A180" s="29" t="s">
        <v>126</v>
      </c>
      <c r="B180" s="25" t="s">
        <v>127</v>
      </c>
      <c r="C180" s="10" t="s">
        <v>27</v>
      </c>
      <c r="D180" s="26">
        <v>4</v>
      </c>
      <c r="E180" s="9">
        <v>22.278606349402814</v>
      </c>
      <c r="F180" s="9">
        <f t="shared" ref="F180" si="17">E180*D180</f>
        <v>89.114425397611257</v>
      </c>
      <c r="G180" s="174"/>
      <c r="H180" s="6"/>
    </row>
    <row r="181" spans="1:8" s="18" customFormat="1" ht="12.5" x14ac:dyDescent="0.25">
      <c r="A181" s="129"/>
      <c r="B181" s="129"/>
      <c r="C181" s="129"/>
      <c r="D181" s="129"/>
      <c r="E181" s="129"/>
      <c r="F181" s="130"/>
      <c r="G181" s="174"/>
      <c r="H181" s="6"/>
    </row>
    <row r="182" spans="1:8" s="18" customFormat="1" ht="13" x14ac:dyDescent="0.25">
      <c r="A182" s="20">
        <v>4.9000000000000004</v>
      </c>
      <c r="B182" s="125" t="s">
        <v>309</v>
      </c>
      <c r="C182" s="126"/>
      <c r="D182" s="126"/>
      <c r="E182" s="126"/>
      <c r="F182" s="127"/>
      <c r="G182" s="174"/>
      <c r="H182" s="6"/>
    </row>
    <row r="183" spans="1:8" s="18" customFormat="1" ht="13" x14ac:dyDescent="0.25">
      <c r="A183" s="58" t="s">
        <v>128</v>
      </c>
      <c r="B183" s="21" t="s">
        <v>310</v>
      </c>
      <c r="C183" s="22"/>
      <c r="D183" s="22"/>
      <c r="E183" s="22"/>
      <c r="F183" s="23"/>
      <c r="G183" s="174"/>
      <c r="H183" s="6"/>
    </row>
    <row r="184" spans="1:8" s="18" customFormat="1" ht="100" x14ac:dyDescent="0.25">
      <c r="A184" s="56" t="s">
        <v>311</v>
      </c>
      <c r="B184" s="25" t="s">
        <v>312</v>
      </c>
      <c r="C184" s="10" t="s">
        <v>23</v>
      </c>
      <c r="D184" s="26">
        <v>7</v>
      </c>
      <c r="E184" s="9">
        <v>1638.81</v>
      </c>
      <c r="F184" s="9">
        <f t="shared" ref="F184" si="18">E184*D184</f>
        <v>11471.67</v>
      </c>
      <c r="G184" s="174"/>
      <c r="H184" s="6"/>
    </row>
    <row r="185" spans="1:8" s="18" customFormat="1" ht="12.5" x14ac:dyDescent="0.25">
      <c r="A185" s="56" t="s">
        <v>313</v>
      </c>
      <c r="B185" s="25" t="s">
        <v>314</v>
      </c>
      <c r="C185" s="10" t="s">
        <v>315</v>
      </c>
      <c r="D185" s="26">
        <v>1</v>
      </c>
      <c r="E185" s="9">
        <v>1896.7757905811006</v>
      </c>
      <c r="F185" s="9">
        <f>E185*D185</f>
        <v>1896.7757905811006</v>
      </c>
      <c r="G185" s="174"/>
      <c r="H185" s="6"/>
    </row>
    <row r="186" spans="1:8" s="18" customFormat="1" ht="12.5" x14ac:dyDescent="0.25">
      <c r="A186" s="56" t="s">
        <v>316</v>
      </c>
      <c r="B186" s="25" t="s">
        <v>317</v>
      </c>
      <c r="C186" s="10" t="s">
        <v>27</v>
      </c>
      <c r="D186" s="5">
        <v>1</v>
      </c>
      <c r="E186" s="9">
        <v>894.85735503434626</v>
      </c>
      <c r="F186" s="9">
        <f>E186*D186</f>
        <v>894.85735503434626</v>
      </c>
      <c r="G186" s="174"/>
      <c r="H186" s="6"/>
    </row>
    <row r="187" spans="1:8" s="18" customFormat="1" ht="12.5" x14ac:dyDescent="0.25">
      <c r="A187" s="129"/>
      <c r="B187" s="129"/>
      <c r="C187" s="129"/>
      <c r="D187" s="129"/>
      <c r="E187" s="129"/>
      <c r="F187" s="130"/>
      <c r="G187" s="174"/>
      <c r="H187" s="6"/>
    </row>
    <row r="188" spans="1:8" s="18" customFormat="1" ht="13" x14ac:dyDescent="0.25">
      <c r="A188" s="58" t="s">
        <v>128</v>
      </c>
      <c r="B188" s="21" t="s">
        <v>129</v>
      </c>
      <c r="C188" s="22"/>
      <c r="D188" s="22"/>
      <c r="E188" s="22"/>
      <c r="F188" s="23"/>
      <c r="G188" s="174"/>
      <c r="H188" s="6"/>
    </row>
    <row r="189" spans="1:8" s="18" customFormat="1" ht="25" x14ac:dyDescent="0.25">
      <c r="A189" s="56" t="s">
        <v>130</v>
      </c>
      <c r="B189" s="25" t="s">
        <v>131</v>
      </c>
      <c r="C189" s="10" t="s">
        <v>23</v>
      </c>
      <c r="D189" s="34">
        <f>161</f>
        <v>161</v>
      </c>
      <c r="E189" s="9">
        <v>11.139303174701407</v>
      </c>
      <c r="F189" s="9">
        <f>E189*D189</f>
        <v>1793.4278111269266</v>
      </c>
      <c r="G189" s="174"/>
      <c r="H189" s="6"/>
    </row>
    <row r="190" spans="1:8" s="18" customFormat="1" ht="25" x14ac:dyDescent="0.25">
      <c r="A190" s="56" t="s">
        <v>132</v>
      </c>
      <c r="B190" s="25" t="s">
        <v>133</v>
      </c>
      <c r="C190" s="10" t="s">
        <v>15</v>
      </c>
      <c r="D190" s="34">
        <f>612*2</f>
        <v>1224</v>
      </c>
      <c r="E190" s="9">
        <v>7.4262021164676035</v>
      </c>
      <c r="F190" s="9">
        <f t="shared" ref="F190" si="19">E190*D190</f>
        <v>9089.6713905563465</v>
      </c>
      <c r="G190" s="174"/>
      <c r="H190" s="6"/>
    </row>
    <row r="191" spans="1:8" s="18" customFormat="1" ht="12.5" x14ac:dyDescent="0.25">
      <c r="A191" s="185"/>
      <c r="B191" s="173"/>
      <c r="C191" s="173"/>
      <c r="D191" s="173"/>
      <c r="E191" s="173"/>
      <c r="F191" s="186"/>
      <c r="G191" s="174"/>
      <c r="H191" s="6"/>
    </row>
    <row r="192" spans="1:8" s="18" customFormat="1" ht="13" x14ac:dyDescent="0.25">
      <c r="A192" s="20">
        <v>4.1100000000000003</v>
      </c>
      <c r="B192" s="125" t="s">
        <v>134</v>
      </c>
      <c r="C192" s="126"/>
      <c r="D192" s="126"/>
      <c r="E192" s="126"/>
      <c r="F192" s="127"/>
      <c r="G192" s="174"/>
      <c r="H192" s="6"/>
    </row>
    <row r="193" spans="1:8" s="18" customFormat="1" ht="25" x14ac:dyDescent="0.25">
      <c r="A193" s="59" t="s">
        <v>135</v>
      </c>
      <c r="B193" s="25" t="s">
        <v>318</v>
      </c>
      <c r="C193" s="10" t="s">
        <v>15</v>
      </c>
      <c r="D193" s="34">
        <f>25+2+8+25</f>
        <v>60</v>
      </c>
      <c r="E193" s="9">
        <v>74</v>
      </c>
      <c r="F193" s="9">
        <f>E193*D193</f>
        <v>4440</v>
      </c>
      <c r="G193" s="174"/>
      <c r="H193" s="6"/>
    </row>
    <row r="194" spans="1:8" s="15" customFormat="1" ht="12.5" x14ac:dyDescent="0.25">
      <c r="A194" s="60"/>
      <c r="B194" s="193"/>
      <c r="C194" s="173"/>
      <c r="D194" s="173"/>
      <c r="E194" s="173"/>
      <c r="F194" s="186"/>
      <c r="G194" s="175"/>
    </row>
    <row r="195" spans="1:8" s="15" customFormat="1" ht="14.4" customHeight="1" x14ac:dyDescent="0.25">
      <c r="A195" s="10"/>
      <c r="B195" s="61"/>
      <c r="C195" s="10"/>
      <c r="D195" s="61"/>
      <c r="E195" s="100" t="s">
        <v>319</v>
      </c>
      <c r="F195" s="100"/>
      <c r="G195" s="62">
        <f>SUM(G6:G194)</f>
        <v>546873.41999999993</v>
      </c>
    </row>
    <row r="196" spans="1:8" s="15" customFormat="1" ht="14.15" customHeight="1" x14ac:dyDescent="0.25">
      <c r="A196" s="10"/>
      <c r="B196" s="61"/>
      <c r="C196" s="10"/>
      <c r="D196" s="61"/>
      <c r="E196" s="100" t="s">
        <v>320</v>
      </c>
      <c r="F196" s="100"/>
      <c r="G196" s="62">
        <f>G195*0.2</f>
        <v>109374.68399999999</v>
      </c>
    </row>
    <row r="197" spans="1:8" s="15" customFormat="1" ht="14.15" customHeight="1" x14ac:dyDescent="0.25">
      <c r="A197" s="10"/>
      <c r="B197" s="61"/>
      <c r="C197" s="10"/>
      <c r="D197" s="61"/>
      <c r="E197" s="100" t="s">
        <v>321</v>
      </c>
      <c r="F197" s="100"/>
      <c r="G197" s="62">
        <f>(G195+G196)*0.4</f>
        <v>262499.24160000001</v>
      </c>
    </row>
    <row r="198" spans="1:8" s="15" customFormat="1" ht="14.15" customHeight="1" x14ac:dyDescent="0.25">
      <c r="A198" s="63"/>
      <c r="B198" s="64"/>
      <c r="C198" s="63"/>
      <c r="D198" s="64"/>
      <c r="E198" s="180" t="s">
        <v>322</v>
      </c>
      <c r="F198" s="181"/>
      <c r="G198" s="65">
        <f>G195+G196+G197</f>
        <v>918747.34559999988</v>
      </c>
    </row>
    <row r="199" spans="1:8" s="15" customFormat="1" ht="14.15" customHeight="1" x14ac:dyDescent="0.25">
      <c r="A199" s="10"/>
      <c r="B199" s="61"/>
      <c r="C199" s="10"/>
      <c r="D199" s="61"/>
      <c r="E199" s="61"/>
      <c r="F199" s="61" t="s">
        <v>323</v>
      </c>
      <c r="G199" s="62">
        <f>G198*0.13</f>
        <v>119437.15492799999</v>
      </c>
    </row>
    <row r="200" spans="1:8" s="15" customFormat="1" ht="14.15" customHeight="1" x14ac:dyDescent="0.25">
      <c r="A200" s="63"/>
      <c r="B200" s="64"/>
      <c r="C200" s="63"/>
      <c r="D200" s="187" t="s">
        <v>324</v>
      </c>
      <c r="E200" s="188"/>
      <c r="F200" s="189"/>
      <c r="G200" s="65">
        <f>G198+G199</f>
        <v>1038184.5005279998</v>
      </c>
    </row>
    <row r="201" spans="1:8" s="15" customFormat="1" ht="14.15" customHeight="1" x14ac:dyDescent="0.25">
      <c r="A201" s="10"/>
      <c r="B201" s="61"/>
      <c r="C201" s="10"/>
      <c r="D201" s="100" t="s">
        <v>325</v>
      </c>
      <c r="E201" s="100"/>
      <c r="F201" s="100"/>
      <c r="G201" s="62">
        <f>G200*0.05</f>
        <v>51909.225026399996</v>
      </c>
    </row>
    <row r="202" spans="1:8" s="15" customFormat="1" ht="14.15" customHeight="1" x14ac:dyDescent="0.25">
      <c r="A202" s="177" t="s">
        <v>326</v>
      </c>
      <c r="B202" s="178"/>
      <c r="C202" s="178"/>
      <c r="D202" s="178"/>
      <c r="E202" s="178"/>
      <c r="F202" s="179"/>
      <c r="G202" s="66">
        <f>G200+G201</f>
        <v>1090093.7255543999</v>
      </c>
    </row>
  </sheetData>
  <mergeCells count="92">
    <mergeCell ref="A202:F202"/>
    <mergeCell ref="E197:F197"/>
    <mergeCell ref="E198:F198"/>
    <mergeCell ref="B115:F115"/>
    <mergeCell ref="A191:F191"/>
    <mergeCell ref="A172:F172"/>
    <mergeCell ref="D200:F200"/>
    <mergeCell ref="D201:F201"/>
    <mergeCell ref="A164:F164"/>
    <mergeCell ref="B165:F165"/>
    <mergeCell ref="B168:F168"/>
    <mergeCell ref="A169:F169"/>
    <mergeCell ref="B170:F170"/>
    <mergeCell ref="B194:F194"/>
    <mergeCell ref="E195:F195"/>
    <mergeCell ref="E196:F196"/>
    <mergeCell ref="A176:F176"/>
    <mergeCell ref="B177:F177"/>
    <mergeCell ref="A181:F181"/>
    <mergeCell ref="B182:F182"/>
    <mergeCell ref="A187:F187"/>
    <mergeCell ref="B116:F116"/>
    <mergeCell ref="G116:G194"/>
    <mergeCell ref="B117:F117"/>
    <mergeCell ref="B119:F119"/>
    <mergeCell ref="B123:F123"/>
    <mergeCell ref="A125:F125"/>
    <mergeCell ref="B126:F126"/>
    <mergeCell ref="A136:F136"/>
    <mergeCell ref="B137:F137"/>
    <mergeCell ref="B173:F173"/>
    <mergeCell ref="B138:F138"/>
    <mergeCell ref="A149:F149"/>
    <mergeCell ref="B150:F150"/>
    <mergeCell ref="A159:F159"/>
    <mergeCell ref="B160:F160"/>
    <mergeCell ref="B192:F192"/>
    <mergeCell ref="B91:F91"/>
    <mergeCell ref="B95:F95"/>
    <mergeCell ref="B98:F98"/>
    <mergeCell ref="B99:F99"/>
    <mergeCell ref="B100:F100"/>
    <mergeCell ref="G100:G114"/>
    <mergeCell ref="B101:F101"/>
    <mergeCell ref="A103:F103"/>
    <mergeCell ref="B104:F104"/>
    <mergeCell ref="A106:F106"/>
    <mergeCell ref="A114:F114"/>
    <mergeCell ref="B107:F107"/>
    <mergeCell ref="B108:F108"/>
    <mergeCell ref="A110:F110"/>
    <mergeCell ref="B111:F111"/>
    <mergeCell ref="B112:F112"/>
    <mergeCell ref="B67:F67"/>
    <mergeCell ref="B68:F68"/>
    <mergeCell ref="B71:F71"/>
    <mergeCell ref="B84:F84"/>
    <mergeCell ref="B85:F85"/>
    <mergeCell ref="B32:F32"/>
    <mergeCell ref="B33:F33"/>
    <mergeCell ref="A44:F44"/>
    <mergeCell ref="B45:F45"/>
    <mergeCell ref="A48:F48"/>
    <mergeCell ref="G33:G98"/>
    <mergeCell ref="B34:F34"/>
    <mergeCell ref="A36:F36"/>
    <mergeCell ref="B37:F37"/>
    <mergeCell ref="A40:F40"/>
    <mergeCell ref="B41:F41"/>
    <mergeCell ref="B52:F52"/>
    <mergeCell ref="B49:F49"/>
    <mergeCell ref="A51:F51"/>
    <mergeCell ref="A90:F90"/>
    <mergeCell ref="B53:F53"/>
    <mergeCell ref="A58:F58"/>
    <mergeCell ref="B59:F59"/>
    <mergeCell ref="A62:F62"/>
    <mergeCell ref="B63:F63"/>
    <mergeCell ref="A66:F66"/>
    <mergeCell ref="A1:G1"/>
    <mergeCell ref="A2:G2"/>
    <mergeCell ref="A3:G3"/>
    <mergeCell ref="A4:G4"/>
    <mergeCell ref="B6:F6"/>
    <mergeCell ref="B7:F7"/>
    <mergeCell ref="G7:G31"/>
    <mergeCell ref="B8:F8"/>
    <mergeCell ref="A26:F26"/>
    <mergeCell ref="B27:F27"/>
    <mergeCell ref="B30:F30"/>
    <mergeCell ref="A31:F31"/>
    <mergeCell ref="B15:F15"/>
  </mergeCells>
  <pageMargins left="0.70866141732283472" right="0.70866141732283472" top="0.74803149606299213" bottom="0.74803149606299213" header="0.31496062992125984" footer="0.31496062992125984"/>
  <pageSetup paperSize="180" scale="58" fitToHeight="10" orientation="portrait" horizontalDpi="1200" verticalDpi="1200" r:id="rId1"/>
  <headerFooter>
    <oddHeader>&amp;C&amp;"Century Gothic,Normal"&amp;20LISTADO DE CANTIDAD (PRESUPUESTO)</oddHeader>
  </headerFooter>
  <rowBreaks count="9" manualBreakCount="9">
    <brk id="36" max="16383" man="1"/>
    <brk id="48" max="16383" man="1"/>
    <brk id="62" max="16383" man="1"/>
    <brk id="83" max="16383" man="1"/>
    <brk id="98" max="16383" man="1"/>
    <brk id="106" max="16383" man="1"/>
    <brk id="125" max="16383" man="1"/>
    <brk id="149" max="16383" man="1"/>
    <brk id="1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OFERTA</vt:lpstr>
      <vt:lpstr>NUEVO</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Pérez</dc:creator>
  <cp:keywords/>
  <dc:description/>
  <cp:lastModifiedBy>Quick Service PC</cp:lastModifiedBy>
  <cp:revision/>
  <cp:lastPrinted>2023-07-05T20:02:06Z</cp:lastPrinted>
  <dcterms:created xsi:type="dcterms:W3CDTF">2023-03-14T21:05:52Z</dcterms:created>
  <dcterms:modified xsi:type="dcterms:W3CDTF">2023-07-13T18:14:52Z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2023-05-02T13:55:08Z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a9cc7be3-4fde-4cf1-84d7-43214cc56a65</vt:lpwstr>
  </property>
  <property fmtid="{D5CDD505-2E9C-101B-9397-08002B2CF9AE}" pid="8" name="MSIP_Label_1127a2b6-15f0-419d-9b28-c70a2bd9d8e7_ContentBits">
    <vt:lpwstr>0</vt:lpwstr>
  </property>
</Properties>
</file>